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145" yWindow="-15" windowWidth="11205" windowHeight="11775" tabRatio="370"/>
  </bookViews>
  <sheets>
    <sheet name="WERTE" sheetId="5" r:id="rId1"/>
    <sheet name="Hauptbahnhof" sheetId="3" r:id="rId2"/>
    <sheet name="Stachus" sheetId="2" r:id="rId3"/>
    <sheet name="Marienplatz" sheetId="1" r:id="rId4"/>
    <sheet name="U-Bahn-Bonus" sheetId="4" r:id="rId5"/>
  </sheets>
  <definedNames>
    <definedName name="_1A">WERTE!$C$4</definedName>
    <definedName name="_1B">WERTE!$C$5</definedName>
    <definedName name="_1C">WERTE!$C$6</definedName>
    <definedName name="_1D">WERTE!$C$7</definedName>
    <definedName name="_1E">WERTE!$C$8</definedName>
    <definedName name="_1F">WERTE!$C$9</definedName>
    <definedName name="_1G">WERTE!$C$10</definedName>
    <definedName name="_1H">WERTE!$C$11</definedName>
    <definedName name="_1I">WERTE!$C$12</definedName>
    <definedName name="_1J">WERTE!$C$13</definedName>
    <definedName name="_2A">WERTE!$C$15</definedName>
    <definedName name="_2B">WERTE!$C$16</definedName>
    <definedName name="_2C">WERTE!$C$17</definedName>
    <definedName name="_2D">WERTE!$C$18</definedName>
    <definedName name="_2E">WERTE!$C$19</definedName>
    <definedName name="_2F">WERTE!$C$20</definedName>
    <definedName name="_2G">WERTE!$C$21</definedName>
    <definedName name="_2H">WERTE!$C$22</definedName>
    <definedName name="_2I">WERTE!$C$23</definedName>
    <definedName name="_2J">WERTE!$C$24</definedName>
    <definedName name="_2K">WERTE!$C$25</definedName>
    <definedName name="_2L">WERTE!$C$26</definedName>
    <definedName name="_2M">WERTE!$C$27</definedName>
    <definedName name="_2N">WERTE!$C$28</definedName>
    <definedName name="_2O">WERTE!$C$29</definedName>
    <definedName name="_2P">WERTE!$C$30</definedName>
    <definedName name="_2Q">WERTE!$C$31</definedName>
    <definedName name="_2R">WERTE!$C$32</definedName>
    <definedName name="_2S">WERTE!$C$33</definedName>
    <definedName name="_2T">WERTE!$C$34</definedName>
    <definedName name="_2U">WERTE!$C$35</definedName>
    <definedName name="_3A">WERTE!$G$4</definedName>
    <definedName name="_3B">WERTE!$G$5</definedName>
    <definedName name="_3C">WERTE!$G$6</definedName>
    <definedName name="_3D">WERTE!$G$7</definedName>
    <definedName name="_3E">WERTE!$G$8</definedName>
    <definedName name="_3F">WERTE!$G$9</definedName>
    <definedName name="_3G">WERTE!$G$10</definedName>
    <definedName name="_3H">WERTE!$G$11</definedName>
    <definedName name="_3I">WERTE!$G$12</definedName>
    <definedName name="_3J">WERTE!$G$13</definedName>
    <definedName name="_3K">WERTE!$G$14</definedName>
    <definedName name="_3L">WERTE!$G$15</definedName>
    <definedName name="_3M">WERTE!$G$16</definedName>
    <definedName name="_3N">WERTE!$G$17</definedName>
    <definedName name="_4A">WERTE!$G$21</definedName>
    <definedName name="_4B">WERTE!$G$22</definedName>
    <definedName name="_4C">WERTE!$G$23</definedName>
    <definedName name="_4D">WERTE!$G$24</definedName>
    <definedName name="_5A">WERTE!$G$28</definedName>
    <definedName name="_5B">WERTE!$G$29</definedName>
    <definedName name="_5C">WERTE!$G$30</definedName>
    <definedName name="_5D">WERTE!$G$31</definedName>
    <definedName name="_5E">WERTE!$G$32</definedName>
    <definedName name="_5F">WERTE!$G$33</definedName>
    <definedName name="_5G">WERTE!$G$34</definedName>
    <definedName name="_5H">WERTE!$G$35</definedName>
    <definedName name="_6A">WERTE!$K$4</definedName>
    <definedName name="_6B">WERTE!$K$5</definedName>
    <definedName name="_6C">WERTE!$K$6</definedName>
    <definedName name="_6D">WERTE!$K$7</definedName>
    <definedName name="_6E">WERTE!$K$8</definedName>
    <definedName name="_6F">WERTE!$K$9</definedName>
    <definedName name="_6G">WERTE!$K$10</definedName>
    <definedName name="_6H">WERTE!$K$11</definedName>
    <definedName name="_6I">WERTE!$K$12</definedName>
    <definedName name="_6J">WERTE!$K$13</definedName>
    <definedName name="_6K">WERTE!$K$14</definedName>
    <definedName name="_6L">WERTE!$K$15</definedName>
    <definedName name="_6M">WERTE!$K$16</definedName>
    <definedName name="_6N">WERTE!$K$17</definedName>
    <definedName name="_6O">WERTE!$K$18</definedName>
    <definedName name="_6P">WERTE!$K$19</definedName>
    <definedName name="_6Q">WERTE!$K$20</definedName>
    <definedName name="_AA">WERTE!$O$4</definedName>
    <definedName name="_AB">WERTE!$O$5</definedName>
    <definedName name="_BA">WERTE!$O$9</definedName>
    <definedName name="_BB">WERTE!$O$10</definedName>
    <definedName name="_BC">WERTE!$O$11</definedName>
    <definedName name="_BE">WERTE!$O$12</definedName>
    <definedName name="_BF">WERTE!$O$13</definedName>
    <definedName name="_BG">WERTE!$O$14</definedName>
    <definedName name="_CA">WERTE!$O$18</definedName>
    <definedName name="_CB">WERTE!$O$19</definedName>
    <definedName name="_CC">WERTE!$O$20</definedName>
    <definedName name="_CD">WERTE!$O$21</definedName>
    <definedName name="_CF">WERTE!$O$22</definedName>
    <definedName name="_CG">WERTE!$O$23</definedName>
    <definedName name="_XB">WERTE!$O$27</definedName>
    <definedName name="_XD">WERTE!$O$28</definedName>
    <definedName name="_XE">WERTE!$O$29</definedName>
    <definedName name="_XF">WERTE!$O$30</definedName>
    <definedName name="_XG">WERTE!$O$31</definedName>
    <definedName name="_xlnm.Print_Area" localSheetId="1">Hauptbahnhof!$A$1:$I$35</definedName>
    <definedName name="_xlnm.Print_Area" localSheetId="3">Marienplatz!$A$1:$I$35</definedName>
    <definedName name="_xlnm.Print_Area" localSheetId="2">Stachus!$A$1:$I$35</definedName>
    <definedName name="_xlnm.Print_Area" localSheetId="4">'U-Bahn-Bonus'!$B$2:$D$18</definedName>
  </definedNames>
  <calcPr calcId="145621"/>
</workbook>
</file>

<file path=xl/calcChain.xml><?xml version="1.0" encoding="utf-8"?>
<calcChain xmlns="http://schemas.openxmlformats.org/spreadsheetml/2006/main">
  <c r="D6" i="4" l="1"/>
  <c r="D5" i="4" l="1"/>
  <c r="D7" i="4" l="1"/>
  <c r="B17" i="4" s="1"/>
  <c r="B18" i="4" l="1"/>
  <c r="G24" i="1"/>
  <c r="O34" i="5" l="1"/>
  <c r="O35" i="5" s="1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G19" i="2"/>
  <c r="G18" i="2"/>
  <c r="G17" i="2"/>
  <c r="G16" i="2"/>
  <c r="G15" i="2"/>
  <c r="G14" i="2"/>
  <c r="G13" i="2"/>
  <c r="G5" i="2"/>
  <c r="G4" i="2"/>
  <c r="G12" i="2"/>
  <c r="G11" i="2"/>
  <c r="G10" i="2"/>
  <c r="G9" i="2"/>
  <c r="G8" i="2"/>
  <c r="G7" i="2"/>
  <c r="G6" i="2"/>
  <c r="B14" i="2"/>
  <c r="B13" i="2"/>
  <c r="B12" i="2"/>
  <c r="B11" i="2"/>
  <c r="B10" i="2"/>
  <c r="B9" i="2"/>
  <c r="B8" i="2"/>
  <c r="B7" i="2"/>
  <c r="B6" i="2"/>
  <c r="B5" i="2"/>
  <c r="B4" i="2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9" i="1"/>
  <c r="G7" i="1"/>
  <c r="G6" i="1"/>
  <c r="G5" i="1"/>
  <c r="G4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5" i="3" l="1"/>
  <c r="H5" i="3"/>
  <c r="C7" i="3"/>
  <c r="H7" i="3"/>
  <c r="C9" i="3"/>
  <c r="H9" i="3"/>
  <c r="C11" i="3"/>
  <c r="H11" i="3"/>
  <c r="C13" i="3"/>
  <c r="H13" i="3"/>
  <c r="C15" i="3"/>
  <c r="H15" i="3"/>
  <c r="C17" i="3"/>
  <c r="D17" i="3" s="1"/>
  <c r="H17" i="3"/>
  <c r="H19" i="3"/>
  <c r="H21" i="3"/>
  <c r="H23" i="3"/>
  <c r="H25" i="3"/>
  <c r="H27" i="3"/>
  <c r="H29" i="3"/>
  <c r="I29" i="3" s="1"/>
  <c r="C5" i="1"/>
  <c r="H5" i="1"/>
  <c r="C7" i="1"/>
  <c r="H7" i="1"/>
  <c r="C9" i="1"/>
  <c r="H9" i="1"/>
  <c r="C11" i="1"/>
  <c r="H11" i="1"/>
  <c r="C13" i="1"/>
  <c r="H13" i="1"/>
  <c r="C15" i="1"/>
  <c r="H15" i="1"/>
  <c r="I15" i="1" s="1"/>
  <c r="C17" i="1"/>
  <c r="H17" i="1"/>
  <c r="C19" i="1"/>
  <c r="H19" i="1"/>
  <c r="C21" i="1"/>
  <c r="H21" i="1"/>
  <c r="I21" i="1" s="1"/>
  <c r="C23" i="1"/>
  <c r="H23" i="1"/>
  <c r="C25" i="1"/>
  <c r="H25" i="1"/>
  <c r="C27" i="1"/>
  <c r="H27" i="1"/>
  <c r="H28" i="1"/>
  <c r="I28" i="1" s="1"/>
  <c r="C5" i="2"/>
  <c r="H5" i="2"/>
  <c r="C7" i="2"/>
  <c r="H7" i="2"/>
  <c r="C9" i="2"/>
  <c r="H9" i="2"/>
  <c r="C11" i="2"/>
  <c r="H11" i="2"/>
  <c r="C13" i="2"/>
  <c r="H13" i="2"/>
  <c r="C14" i="2"/>
  <c r="H15" i="2"/>
  <c r="H17" i="2"/>
  <c r="H19" i="2"/>
  <c r="C15" i="4" l="1"/>
  <c r="C13" i="4"/>
  <c r="I27" i="3"/>
  <c r="I15" i="3"/>
  <c r="I9" i="3"/>
  <c r="D9" i="3"/>
  <c r="I19" i="2"/>
  <c r="I15" i="2"/>
  <c r="D14" i="2"/>
  <c r="I9" i="1"/>
  <c r="D15" i="1"/>
  <c r="D9" i="1"/>
  <c r="D15" i="3"/>
  <c r="D9" i="2"/>
  <c r="I21" i="3"/>
  <c r="I9" i="2"/>
  <c r="I27" i="1"/>
  <c r="D21" i="1"/>
  <c r="D27" i="1"/>
  <c r="C32" i="1" l="1"/>
  <c r="A33" i="1" s="1"/>
  <c r="C32" i="2"/>
  <c r="A33" i="2" s="1"/>
  <c r="H32" i="1"/>
  <c r="F33" i="1" s="1"/>
  <c r="C32" i="3"/>
  <c r="A33" i="3" s="1"/>
  <c r="H32" i="3"/>
  <c r="F33" i="3" s="1"/>
  <c r="H32" i="2"/>
  <c r="F33" i="2" s="1"/>
</calcChain>
</file>

<file path=xl/sharedStrings.xml><?xml version="1.0" encoding="utf-8"?>
<sst xmlns="http://schemas.openxmlformats.org/spreadsheetml/2006/main" count="384" uniqueCount="218">
  <si>
    <t>Linie U3</t>
  </si>
  <si>
    <t>Linie U6</t>
  </si>
  <si>
    <t>Kürzel</t>
  </si>
  <si>
    <t>Bonus</t>
  </si>
  <si>
    <t>Summe</t>
  </si>
  <si>
    <t>Produkt</t>
  </si>
  <si>
    <t>3A</t>
  </si>
  <si>
    <t>6A</t>
  </si>
  <si>
    <t>3B</t>
  </si>
  <si>
    <t>6B</t>
  </si>
  <si>
    <t>XD</t>
  </si>
  <si>
    <t>6C</t>
  </si>
  <si>
    <t>3C</t>
  </si>
  <si>
    <t>6D</t>
  </si>
  <si>
    <t>3D</t>
  </si>
  <si>
    <t>6E</t>
  </si>
  <si>
    <t>3E</t>
  </si>
  <si>
    <t>6F</t>
  </si>
  <si>
    <t>XF</t>
  </si>
  <si>
    <t>6G</t>
  </si>
  <si>
    <t>3F</t>
  </si>
  <si>
    <t>6H</t>
  </si>
  <si>
    <t>BA</t>
  </si>
  <si>
    <t>6I</t>
  </si>
  <si>
    <t>BB</t>
  </si>
  <si>
    <t>6J</t>
  </si>
  <si>
    <t>BC</t>
  </si>
  <si>
    <t>XG</t>
  </si>
  <si>
    <t>XB</t>
  </si>
  <si>
    <t>BE</t>
  </si>
  <si>
    <t>BF</t>
  </si>
  <si>
    <t>BG</t>
  </si>
  <si>
    <t>3G</t>
  </si>
  <si>
    <t>3H</t>
  </si>
  <si>
    <t>3I</t>
  </si>
  <si>
    <t>6K</t>
  </si>
  <si>
    <t>3J</t>
  </si>
  <si>
    <t>6L</t>
  </si>
  <si>
    <t>3K</t>
  </si>
  <si>
    <t>6M</t>
  </si>
  <si>
    <t>3L</t>
  </si>
  <si>
    <t>6N</t>
  </si>
  <si>
    <t>3M</t>
  </si>
  <si>
    <t>6O</t>
  </si>
  <si>
    <t>3N</t>
  </si>
  <si>
    <t>6P</t>
  </si>
  <si>
    <t>6Q</t>
  </si>
  <si>
    <t>Nord-Basis</t>
  </si>
  <si>
    <t>Bonussumme</t>
  </si>
  <si>
    <t>Ost-Basis</t>
  </si>
  <si>
    <t>Marienplatz</t>
  </si>
  <si>
    <t>A</t>
  </si>
  <si>
    <t>Linie U4</t>
  </si>
  <si>
    <t>Linie U5</t>
  </si>
  <si>
    <t>CA</t>
  </si>
  <si>
    <t>5A</t>
  </si>
  <si>
    <t>CB</t>
  </si>
  <si>
    <t>5B</t>
  </si>
  <si>
    <t>CC</t>
  </si>
  <si>
    <t>CD</t>
  </si>
  <si>
    <t>CF</t>
  </si>
  <si>
    <t>CG</t>
  </si>
  <si>
    <t>4A</t>
  </si>
  <si>
    <t>4B</t>
  </si>
  <si>
    <t>4C</t>
  </si>
  <si>
    <t>5C</t>
  </si>
  <si>
    <t>4D</t>
  </si>
  <si>
    <t>XE</t>
  </si>
  <si>
    <t>5D</t>
  </si>
  <si>
    <t>5E</t>
  </si>
  <si>
    <t>5F</t>
  </si>
  <si>
    <t>5G</t>
  </si>
  <si>
    <t>5H</t>
  </si>
  <si>
    <t>Stachus</t>
  </si>
  <si>
    <t>B</t>
  </si>
  <si>
    <t>Linie U1</t>
  </si>
  <si>
    <t>Linie U2</t>
  </si>
  <si>
    <t>2A</t>
  </si>
  <si>
    <t>1A</t>
  </si>
  <si>
    <t>2B</t>
  </si>
  <si>
    <t>1B</t>
  </si>
  <si>
    <t>2C</t>
  </si>
  <si>
    <t>1C</t>
  </si>
  <si>
    <t>2D</t>
  </si>
  <si>
    <t>1D</t>
  </si>
  <si>
    <t>2E</t>
  </si>
  <si>
    <t>1E</t>
  </si>
  <si>
    <t>2F</t>
  </si>
  <si>
    <t>1F</t>
  </si>
  <si>
    <t>2G</t>
  </si>
  <si>
    <t>AA</t>
  </si>
  <si>
    <t>2H</t>
  </si>
  <si>
    <t>AB</t>
  </si>
  <si>
    <t>2I</t>
  </si>
  <si>
    <t>1G</t>
  </si>
  <si>
    <t>2J</t>
  </si>
  <si>
    <t>1H</t>
  </si>
  <si>
    <t>2K</t>
  </si>
  <si>
    <t>1I</t>
  </si>
  <si>
    <t>1J</t>
  </si>
  <si>
    <t>2L</t>
  </si>
  <si>
    <t>2M</t>
  </si>
  <si>
    <t>2N</t>
  </si>
  <si>
    <t>2O</t>
  </si>
  <si>
    <t xml:space="preserve"> XE</t>
  </si>
  <si>
    <t>2P</t>
  </si>
  <si>
    <t>2Q</t>
  </si>
  <si>
    <t>2R</t>
  </si>
  <si>
    <t>2S</t>
  </si>
  <si>
    <t>2T</t>
  </si>
  <si>
    <t>2U</t>
  </si>
  <si>
    <t>Hauptbahnhof</t>
  </si>
  <si>
    <t>C</t>
  </si>
  <si>
    <t>Gesamtnetz Bonus</t>
  </si>
  <si>
    <t>Station</t>
  </si>
  <si>
    <t>Variable</t>
  </si>
  <si>
    <t>Karlsplatz (Stachus)</t>
  </si>
  <si>
    <t>B*C-A</t>
  </si>
  <si>
    <t>Nord-Bonuswert</t>
  </si>
  <si>
    <t>A*B-C</t>
  </si>
  <si>
    <t>Ost-Bonuswert</t>
  </si>
  <si>
    <t>Anzahl gefundene Bonuswerte:</t>
  </si>
  <si>
    <t>Anzahl fehlende Bonuswerte:</t>
  </si>
  <si>
    <t>Westfriedhof</t>
  </si>
  <si>
    <t>Gern</t>
  </si>
  <si>
    <t>Georg-Brauchle-Ring</t>
  </si>
  <si>
    <t>Rotkreuzplatz</t>
  </si>
  <si>
    <t>Maillingerstraße</t>
  </si>
  <si>
    <t xml:space="preserve">Stiglmaierplatz </t>
  </si>
  <si>
    <t>Sendlinger Tor</t>
  </si>
  <si>
    <t>Olympia-EKZ</t>
  </si>
  <si>
    <t>Fraunhoferstraße</t>
  </si>
  <si>
    <t>Kolumbusplatz</t>
  </si>
  <si>
    <t>Candidplatz</t>
  </si>
  <si>
    <t>Wettersteinplatz</t>
  </si>
  <si>
    <t>Sankt-Quirin-Platz</t>
  </si>
  <si>
    <t>Mangfallplatz</t>
  </si>
  <si>
    <t>Scheidplatz</t>
  </si>
  <si>
    <t>Feldmoching</t>
  </si>
  <si>
    <t>Hasenbergl</t>
  </si>
  <si>
    <t>Dülferstraße</t>
  </si>
  <si>
    <t>Harthof</t>
  </si>
  <si>
    <t>Am Hart</t>
  </si>
  <si>
    <t>Frankfurter Ring</t>
  </si>
  <si>
    <t>Milbertshofen</t>
  </si>
  <si>
    <t>Hohenzollernplatz</t>
  </si>
  <si>
    <t>Josephsplatz</t>
  </si>
  <si>
    <t>Theresienstraße</t>
  </si>
  <si>
    <t>Königsplatz</t>
  </si>
  <si>
    <t>Innsbrucker Ring</t>
  </si>
  <si>
    <t>Silberhornstraße</t>
  </si>
  <si>
    <t>Untersbergstraße</t>
  </si>
  <si>
    <t>Giesing</t>
  </si>
  <si>
    <t>Karl-Preis-Platz</t>
  </si>
  <si>
    <t>Josephsburg</t>
  </si>
  <si>
    <t>Kreillerstraße</t>
  </si>
  <si>
    <t>Trudering</t>
  </si>
  <si>
    <t>Moosfeld</t>
  </si>
  <si>
    <t>Messestadt-West</t>
  </si>
  <si>
    <t>Messestadt-Ost</t>
  </si>
  <si>
    <t>Moosach</t>
  </si>
  <si>
    <t>Oberwiesenfeld</t>
  </si>
  <si>
    <t>Olympiazentrum</t>
  </si>
  <si>
    <t>Petuelring</t>
  </si>
  <si>
    <t>Bonner Platz</t>
  </si>
  <si>
    <t>Odeonsplatz</t>
  </si>
  <si>
    <t>Münchner Freiheit</t>
  </si>
  <si>
    <t>Giselastraße</t>
  </si>
  <si>
    <t>Universität</t>
  </si>
  <si>
    <t>Goetheplatz</t>
  </si>
  <si>
    <t>Poccistraße</t>
  </si>
  <si>
    <t>Implerstraße</t>
  </si>
  <si>
    <t>Brudermühlstraße</t>
  </si>
  <si>
    <t>Thalkirchen</t>
  </si>
  <si>
    <t>Obersendling</t>
  </si>
  <si>
    <t>Aidenbachstraße</t>
  </si>
  <si>
    <t>Machtlfinger Straße</t>
  </si>
  <si>
    <t>Forstenrieder Allee</t>
  </si>
  <si>
    <t>Basler Straße</t>
  </si>
  <si>
    <t>Fürstenried West</t>
  </si>
  <si>
    <t>Westendstraße</t>
  </si>
  <si>
    <t>Heimeranplatz</t>
  </si>
  <si>
    <t>Schwanthalerhöhe</t>
  </si>
  <si>
    <t>Theresienwiese</t>
  </si>
  <si>
    <t>Lehel</t>
  </si>
  <si>
    <t>Max-Weber-Platz</t>
  </si>
  <si>
    <t>Prinzregentenplatz</t>
  </si>
  <si>
    <t>Böhmerwaldplatz</t>
  </si>
  <si>
    <t>Richard-Strauss-Straße</t>
  </si>
  <si>
    <t>Arabellapark</t>
  </si>
  <si>
    <t>Laimer Platz</t>
  </si>
  <si>
    <t>Friedenheimer Straße</t>
  </si>
  <si>
    <t>Ostbahnhof</t>
  </si>
  <si>
    <t>Michaelibad</t>
  </si>
  <si>
    <t>Quiddestraße</t>
  </si>
  <si>
    <t>Neuperlach Zentrum</t>
  </si>
  <si>
    <t>Therese-Giehse-Allee</t>
  </si>
  <si>
    <t>Neuperlach Süd</t>
  </si>
  <si>
    <t>Garching-Forschungsz.</t>
  </si>
  <si>
    <t>Garching</t>
  </si>
  <si>
    <t>Garching-Hochbrück</t>
  </si>
  <si>
    <t>Fröttmaning</t>
  </si>
  <si>
    <t>Kieferngarten</t>
  </si>
  <si>
    <t>Freimann</t>
  </si>
  <si>
    <t>Studentenstadt</t>
  </si>
  <si>
    <t>Alte Heide</t>
  </si>
  <si>
    <t>Nordfriedhof</t>
  </si>
  <si>
    <t>Dietlindenstraße</t>
  </si>
  <si>
    <t>Harras</t>
  </si>
  <si>
    <t>Partnachplatz</t>
  </si>
  <si>
    <t>Westpark</t>
  </si>
  <si>
    <t>Holzapfelkreuth</t>
  </si>
  <si>
    <t>Haderner Stern</t>
  </si>
  <si>
    <t>Großhadern</t>
  </si>
  <si>
    <t>Bahnhof</t>
  </si>
  <si>
    <t>Moos. St.-Martins-Platz</t>
  </si>
  <si>
    <t>Klinikum Großhadern</t>
  </si>
  <si>
    <t>U-Bahn-Serie von ehemals googler25 und ralphlöwe (Stand: 2023-01-03 18:00)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</si>
</sst>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7" x14ac:knownFonts="1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62"/>
        <bgColor indexed="1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49"/>
        <bgColor indexed="57"/>
      </patternFill>
    </fill>
    <fill>
      <patternFill patternType="solid">
        <fgColor indexed="17"/>
        <bgColor indexed="21"/>
      </patternFill>
    </fill>
    <fill>
      <patternFill patternType="solid">
        <fgColor indexed="10"/>
        <bgColor indexed="16"/>
      </patternFill>
    </fill>
    <fill>
      <patternFill patternType="solid">
        <fgColor indexed="30"/>
        <bgColor indexed="62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34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4" borderId="2" xfId="0" applyFont="1" applyFill="1" applyBorder="1" applyAlignment="1">
      <alignment horizontal="left"/>
    </xf>
    <xf numFmtId="0" fontId="0" fillId="0" borderId="0" xfId="0" applyFont="1"/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wrapText="1"/>
    </xf>
    <xf numFmtId="0" fontId="0" fillId="12" borderId="2" xfId="1" applyFont="1" applyFill="1" applyBorder="1" applyAlignment="1">
      <alignment horizontal="center"/>
    </xf>
    <xf numFmtId="0" fontId="0" fillId="0" borderId="0" xfId="1" applyFont="1"/>
    <xf numFmtId="0" fontId="0" fillId="13" borderId="2" xfId="1" applyFont="1" applyFill="1" applyBorder="1" applyAlignment="1">
      <alignment horizontal="center"/>
    </xf>
    <xf numFmtId="0" fontId="4" fillId="0" borderId="0" xfId="0" applyFont="1"/>
    <xf numFmtId="0" fontId="0" fillId="13" borderId="4" xfId="1" applyFont="1" applyFill="1" applyBorder="1" applyAlignment="1">
      <alignment horizontal="center"/>
    </xf>
    <xf numFmtId="0" fontId="0" fillId="13" borderId="5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wrapText="1"/>
    </xf>
    <xf numFmtId="0" fontId="0" fillId="14" borderId="2" xfId="0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0" fillId="13" borderId="6" xfId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15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21</xdr:row>
      <xdr:rowOff>1</xdr:rowOff>
    </xdr:from>
    <xdr:to>
      <xdr:col>10</xdr:col>
      <xdr:colOff>323850</xdr:colOff>
      <xdr:row>33</xdr:row>
      <xdr:rowOff>7938</xdr:rowOff>
    </xdr:to>
    <xdr:sp macro="" textlink="">
      <xdr:nvSpPr>
        <xdr:cNvPr id="2" name="Textfeld 1"/>
        <xdr:cNvSpPr txBox="1"/>
      </xdr:nvSpPr>
      <xdr:spPr>
        <a:xfrm>
          <a:off x="4978400" y="3476626"/>
          <a:ext cx="2100263" cy="1912937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Nur die gelb unterlegten Felder in den Blättern sind</a:t>
          </a:r>
          <a:r>
            <a:rPr lang="de-DE" sz="1200" b="1" baseline="0"/>
            <a:t> auszufüllen, deren Werte werden in die Folgeblätter übernommen.</a:t>
          </a:r>
        </a:p>
        <a:p>
          <a:endParaRPr lang="de-DE" sz="1200" b="1" baseline="0"/>
        </a:p>
        <a:p>
          <a:r>
            <a:rPr lang="de-DE" sz="1200" b="1" baseline="0"/>
            <a:t>Rote geschriebene / unterlegte Stationen sind archiviert.</a:t>
          </a:r>
          <a:endParaRPr lang="de-DE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5"/>
  <sheetViews>
    <sheetView tabSelected="1" zoomScale="120" zoomScaleNormal="120" workbookViewId="0">
      <selection sqref="A1:O1"/>
    </sheetView>
  </sheetViews>
  <sheetFormatPr baseColWidth="10" defaultRowHeight="12.75" customHeight="1" x14ac:dyDescent="0.2"/>
  <cols>
    <col min="1" max="1" width="18.28515625" style="10" bestFit="1" customWidth="1"/>
    <col min="2" max="3" width="6.28515625" style="10" bestFit="1" customWidth="1"/>
    <col min="4" max="4" width="5" style="10" customWidth="1"/>
    <col min="5" max="5" width="20.7109375" style="10" bestFit="1" customWidth="1"/>
    <col min="6" max="7" width="6.28515625" style="10" bestFit="1" customWidth="1"/>
    <col min="8" max="8" width="5.28515625" style="10" customWidth="1"/>
    <col min="9" max="9" width="20.42578125" style="10" bestFit="1" customWidth="1"/>
    <col min="10" max="11" width="6.28515625" style="10" bestFit="1" customWidth="1"/>
    <col min="12" max="12" width="5.85546875" style="10" customWidth="1"/>
    <col min="13" max="13" width="15.85546875" style="10" bestFit="1" customWidth="1"/>
    <col min="14" max="15" width="6.28515625" style="10" bestFit="1" customWidth="1"/>
    <col min="16" max="16384" width="11.42578125" style="10"/>
  </cols>
  <sheetData>
    <row r="1" spans="1:15" ht="18" x14ac:dyDescent="0.25">
      <c r="A1" s="37" t="s">
        <v>217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8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5" customFormat="1" ht="12.75" customHeight="1" x14ac:dyDescent="0.2">
      <c r="A3" s="15" t="s">
        <v>214</v>
      </c>
      <c r="B3" s="15" t="s">
        <v>2</v>
      </c>
      <c r="C3" s="15" t="s">
        <v>3</v>
      </c>
      <c r="E3" s="15" t="s">
        <v>214</v>
      </c>
      <c r="F3" s="15" t="s">
        <v>2</v>
      </c>
      <c r="G3" s="15" t="s">
        <v>3</v>
      </c>
      <c r="I3" s="15" t="s">
        <v>214</v>
      </c>
      <c r="J3" s="15" t="s">
        <v>2</v>
      </c>
      <c r="K3" s="15" t="s">
        <v>3</v>
      </c>
      <c r="M3" s="15" t="s">
        <v>214</v>
      </c>
      <c r="N3" s="15" t="s">
        <v>2</v>
      </c>
      <c r="O3" s="15" t="s">
        <v>3</v>
      </c>
    </row>
    <row r="4" spans="1:15" ht="12.75" customHeight="1" x14ac:dyDescent="0.2">
      <c r="A4" s="10" t="s">
        <v>125</v>
      </c>
      <c r="B4" s="32" t="s">
        <v>78</v>
      </c>
      <c r="C4" s="20"/>
      <c r="E4" s="10" t="s">
        <v>160</v>
      </c>
      <c r="F4" s="32" t="s">
        <v>6</v>
      </c>
      <c r="G4" s="20"/>
      <c r="H4" s="17"/>
      <c r="I4" s="28" t="s">
        <v>198</v>
      </c>
      <c r="J4" s="32" t="s">
        <v>7</v>
      </c>
      <c r="K4" s="20">
        <v>6</v>
      </c>
      <c r="M4" s="29" t="s">
        <v>131</v>
      </c>
      <c r="N4" s="32" t="s">
        <v>90</v>
      </c>
      <c r="O4" s="20">
        <v>6</v>
      </c>
    </row>
    <row r="5" spans="1:15" ht="12.75" customHeight="1" x14ac:dyDescent="0.2">
      <c r="A5" s="10" t="s">
        <v>123</v>
      </c>
      <c r="B5" s="32" t="s">
        <v>80</v>
      </c>
      <c r="C5" s="20"/>
      <c r="E5" s="31" t="s">
        <v>215</v>
      </c>
      <c r="F5" s="32" t="s">
        <v>8</v>
      </c>
      <c r="G5" s="20">
        <v>8</v>
      </c>
      <c r="H5" s="17"/>
      <c r="I5" s="28" t="s">
        <v>199</v>
      </c>
      <c r="J5" s="32" t="s">
        <v>9</v>
      </c>
      <c r="K5" s="20">
        <v>6</v>
      </c>
      <c r="M5" s="10" t="s">
        <v>132</v>
      </c>
      <c r="N5" s="32" t="s">
        <v>92</v>
      </c>
      <c r="O5" s="20"/>
    </row>
    <row r="6" spans="1:15" ht="12.75" customHeight="1" x14ac:dyDescent="0.2">
      <c r="A6" s="10" t="s">
        <v>124</v>
      </c>
      <c r="B6" s="32" t="s">
        <v>82</v>
      </c>
      <c r="C6" s="20"/>
      <c r="E6" s="29" t="s">
        <v>161</v>
      </c>
      <c r="F6" s="32" t="s">
        <v>12</v>
      </c>
      <c r="G6" s="20">
        <v>5</v>
      </c>
      <c r="I6" s="29" t="s">
        <v>200</v>
      </c>
      <c r="J6" s="32" t="s">
        <v>11</v>
      </c>
      <c r="K6" s="20">
        <v>6</v>
      </c>
      <c r="L6" s="17"/>
      <c r="M6" s="17"/>
      <c r="O6" s="21"/>
    </row>
    <row r="7" spans="1:15" ht="12.75" customHeight="1" x14ac:dyDescent="0.2">
      <c r="A7" s="30" t="s">
        <v>126</v>
      </c>
      <c r="B7" s="32" t="s">
        <v>84</v>
      </c>
      <c r="C7" s="20">
        <v>9</v>
      </c>
      <c r="E7" s="30" t="s">
        <v>162</v>
      </c>
      <c r="F7" s="32" t="s">
        <v>14</v>
      </c>
      <c r="G7" s="20">
        <v>6</v>
      </c>
      <c r="I7" s="18" t="s">
        <v>201</v>
      </c>
      <c r="J7" s="32" t="s">
        <v>13</v>
      </c>
      <c r="K7" s="20"/>
      <c r="L7" s="17"/>
    </row>
    <row r="8" spans="1:15" ht="12.75" customHeight="1" x14ac:dyDescent="0.2">
      <c r="A8" s="18" t="s">
        <v>127</v>
      </c>
      <c r="B8" s="32" t="s">
        <v>86</v>
      </c>
      <c r="C8" s="20"/>
      <c r="E8" s="18" t="s">
        <v>163</v>
      </c>
      <c r="F8" s="32" t="s">
        <v>16</v>
      </c>
      <c r="G8" s="22"/>
      <c r="I8" s="18" t="s">
        <v>202</v>
      </c>
      <c r="J8" s="32" t="s">
        <v>15</v>
      </c>
      <c r="K8" s="20"/>
      <c r="L8" s="17"/>
    </row>
    <row r="9" spans="1:15" ht="12.75" customHeight="1" x14ac:dyDescent="0.2">
      <c r="A9" s="19" t="s">
        <v>128</v>
      </c>
      <c r="B9" s="32" t="s">
        <v>88</v>
      </c>
      <c r="C9" s="20"/>
      <c r="E9" s="18" t="s">
        <v>164</v>
      </c>
      <c r="F9" s="32" t="s">
        <v>20</v>
      </c>
      <c r="G9" s="20"/>
      <c r="I9" s="18" t="s">
        <v>203</v>
      </c>
      <c r="J9" s="32" t="s">
        <v>17</v>
      </c>
      <c r="K9" s="20"/>
      <c r="L9" s="17"/>
      <c r="M9" s="28" t="s">
        <v>166</v>
      </c>
      <c r="N9" s="32" t="s">
        <v>22</v>
      </c>
      <c r="O9" s="22">
        <v>3</v>
      </c>
    </row>
    <row r="10" spans="1:15" ht="12.75" customHeight="1" x14ac:dyDescent="0.2">
      <c r="A10" s="19" t="s">
        <v>133</v>
      </c>
      <c r="B10" s="32" t="s">
        <v>94</v>
      </c>
      <c r="C10" s="22"/>
      <c r="E10" s="18" t="s">
        <v>172</v>
      </c>
      <c r="F10" s="32" t="s">
        <v>32</v>
      </c>
      <c r="G10" s="20"/>
      <c r="I10" s="30" t="s">
        <v>204</v>
      </c>
      <c r="J10" s="32" t="s">
        <v>19</v>
      </c>
      <c r="K10" s="20">
        <v>8</v>
      </c>
      <c r="M10" s="18" t="s">
        <v>167</v>
      </c>
      <c r="N10" s="32" t="s">
        <v>24</v>
      </c>
      <c r="O10" s="22"/>
    </row>
    <row r="11" spans="1:15" ht="12.75" customHeight="1" x14ac:dyDescent="0.2">
      <c r="A11" s="18" t="s">
        <v>134</v>
      </c>
      <c r="B11" s="32" t="s">
        <v>96</v>
      </c>
      <c r="C11" s="20"/>
      <c r="D11" s="17"/>
      <c r="E11" s="18" t="s">
        <v>173</v>
      </c>
      <c r="F11" s="32" t="s">
        <v>33</v>
      </c>
      <c r="G11" s="20"/>
      <c r="I11" s="18" t="s">
        <v>205</v>
      </c>
      <c r="J11" s="32" t="s">
        <v>21</v>
      </c>
      <c r="K11" s="20"/>
      <c r="M11" s="30" t="s">
        <v>168</v>
      </c>
      <c r="N11" s="32" t="s">
        <v>26</v>
      </c>
      <c r="O11" s="22">
        <v>1</v>
      </c>
    </row>
    <row r="12" spans="1:15" ht="12.75" customHeight="1" x14ac:dyDescent="0.2">
      <c r="A12" s="18" t="s">
        <v>135</v>
      </c>
      <c r="B12" s="32" t="s">
        <v>98</v>
      </c>
      <c r="C12" s="20"/>
      <c r="E12" s="18" t="s">
        <v>174</v>
      </c>
      <c r="F12" s="32" t="s">
        <v>34</v>
      </c>
      <c r="G12" s="20"/>
      <c r="I12" s="18" t="s">
        <v>206</v>
      </c>
      <c r="J12" s="32" t="s">
        <v>23</v>
      </c>
      <c r="K12" s="20"/>
      <c r="M12" s="18" t="s">
        <v>169</v>
      </c>
      <c r="N12" s="32" t="s">
        <v>29</v>
      </c>
      <c r="O12" s="20"/>
    </row>
    <row r="13" spans="1:15" ht="12.75" customHeight="1" x14ac:dyDescent="0.2">
      <c r="A13" s="18" t="s">
        <v>136</v>
      </c>
      <c r="B13" s="32" t="s">
        <v>99</v>
      </c>
      <c r="C13" s="20"/>
      <c r="E13" s="18" t="s">
        <v>175</v>
      </c>
      <c r="F13" s="32" t="s">
        <v>36</v>
      </c>
      <c r="G13" s="20"/>
      <c r="I13" s="30" t="s">
        <v>207</v>
      </c>
      <c r="J13" s="32" t="s">
        <v>25</v>
      </c>
      <c r="K13" s="20">
        <v>4</v>
      </c>
      <c r="M13" s="30" t="s">
        <v>170</v>
      </c>
      <c r="N13" s="32" t="s">
        <v>30</v>
      </c>
      <c r="O13" s="22">
        <v>0</v>
      </c>
    </row>
    <row r="14" spans="1:15" ht="12.75" customHeight="1" x14ac:dyDescent="0.2">
      <c r="C14" s="21"/>
      <c r="E14" s="18" t="s">
        <v>176</v>
      </c>
      <c r="F14" s="32" t="s">
        <v>38</v>
      </c>
      <c r="G14" s="20"/>
      <c r="I14" s="18" t="s">
        <v>208</v>
      </c>
      <c r="J14" s="32" t="s">
        <v>35</v>
      </c>
      <c r="K14" s="20"/>
      <c r="M14" s="18" t="s">
        <v>171</v>
      </c>
      <c r="N14" s="32" t="s">
        <v>31</v>
      </c>
      <c r="O14" s="20"/>
    </row>
    <row r="15" spans="1:15" ht="12.75" customHeight="1" x14ac:dyDescent="0.2">
      <c r="A15" s="18" t="s">
        <v>138</v>
      </c>
      <c r="B15" s="32" t="s">
        <v>77</v>
      </c>
      <c r="C15" s="20"/>
      <c r="E15" s="18" t="s">
        <v>177</v>
      </c>
      <c r="F15" s="32" t="s">
        <v>40</v>
      </c>
      <c r="G15" s="20"/>
      <c r="I15" s="18" t="s">
        <v>209</v>
      </c>
      <c r="J15" s="32" t="s">
        <v>37</v>
      </c>
      <c r="K15" s="22"/>
    </row>
    <row r="16" spans="1:15" ht="12.75" customHeight="1" x14ac:dyDescent="0.2">
      <c r="A16" s="30" t="s">
        <v>139</v>
      </c>
      <c r="B16" s="32" t="s">
        <v>79</v>
      </c>
      <c r="C16" s="20">
        <v>5</v>
      </c>
      <c r="E16" s="18" t="s">
        <v>178</v>
      </c>
      <c r="F16" s="32" t="s">
        <v>42</v>
      </c>
      <c r="G16" s="20"/>
      <c r="I16" s="18" t="s">
        <v>210</v>
      </c>
      <c r="J16" s="32" t="s">
        <v>39</v>
      </c>
      <c r="K16" s="22"/>
    </row>
    <row r="17" spans="1:16" ht="12.75" customHeight="1" x14ac:dyDescent="0.2">
      <c r="A17" s="30" t="s">
        <v>140</v>
      </c>
      <c r="B17" s="32" t="s">
        <v>81</v>
      </c>
      <c r="C17" s="20">
        <v>3</v>
      </c>
      <c r="D17" s="17"/>
      <c r="E17" s="18" t="s">
        <v>179</v>
      </c>
      <c r="F17" s="32" t="s">
        <v>44</v>
      </c>
      <c r="G17" s="20"/>
      <c r="I17" s="18" t="s">
        <v>211</v>
      </c>
      <c r="J17" s="32" t="s">
        <v>41</v>
      </c>
      <c r="K17" s="20"/>
    </row>
    <row r="18" spans="1:16" ht="12.75" customHeight="1" x14ac:dyDescent="0.2">
      <c r="A18" s="30" t="s">
        <v>141</v>
      </c>
      <c r="B18" s="32" t="s">
        <v>83</v>
      </c>
      <c r="C18" s="22">
        <v>2</v>
      </c>
      <c r="G18" s="21"/>
      <c r="I18" s="18" t="s">
        <v>212</v>
      </c>
      <c r="J18" s="32" t="s">
        <v>43</v>
      </c>
      <c r="K18" s="20"/>
      <c r="M18" s="10" t="s">
        <v>180</v>
      </c>
      <c r="N18" s="32" t="s">
        <v>54</v>
      </c>
      <c r="O18" s="20"/>
      <c r="P18" s="17"/>
    </row>
    <row r="19" spans="1:16" ht="12.75" customHeight="1" x14ac:dyDescent="0.2">
      <c r="A19" s="18" t="s">
        <v>142</v>
      </c>
      <c r="B19" s="32" t="s">
        <v>85</v>
      </c>
      <c r="C19" s="20"/>
      <c r="I19" s="18" t="s">
        <v>213</v>
      </c>
      <c r="J19" s="32" t="s">
        <v>45</v>
      </c>
      <c r="K19" s="20"/>
      <c r="M19" s="18" t="s">
        <v>181</v>
      </c>
      <c r="N19" s="32" t="s">
        <v>56</v>
      </c>
      <c r="O19" s="20"/>
    </row>
    <row r="20" spans="1:16" ht="12.75" customHeight="1" x14ac:dyDescent="0.2">
      <c r="A20" s="18" t="s">
        <v>143</v>
      </c>
      <c r="B20" s="32" t="s">
        <v>87</v>
      </c>
      <c r="C20" s="22"/>
      <c r="I20" s="18" t="s">
        <v>216</v>
      </c>
      <c r="J20" s="32" t="s">
        <v>46</v>
      </c>
      <c r="K20" s="20"/>
      <c r="M20" s="18" t="s">
        <v>182</v>
      </c>
      <c r="N20" s="32" t="s">
        <v>58</v>
      </c>
      <c r="O20" s="22"/>
    </row>
    <row r="21" spans="1:16" ht="12.75" customHeight="1" x14ac:dyDescent="0.2">
      <c r="A21" s="19" t="s">
        <v>144</v>
      </c>
      <c r="B21" s="32" t="s">
        <v>89</v>
      </c>
      <c r="C21" s="22"/>
      <c r="E21" s="18" t="s">
        <v>186</v>
      </c>
      <c r="F21" s="32" t="s">
        <v>62</v>
      </c>
      <c r="G21" s="22"/>
      <c r="M21" s="18" t="s">
        <v>183</v>
      </c>
      <c r="N21" s="32" t="s">
        <v>59</v>
      </c>
      <c r="O21" s="20"/>
      <c r="P21" s="17"/>
    </row>
    <row r="22" spans="1:16" ht="12.75" customHeight="1" x14ac:dyDescent="0.2">
      <c r="A22" s="18" t="s">
        <v>145</v>
      </c>
      <c r="B22" s="32" t="s">
        <v>91</v>
      </c>
      <c r="C22" s="20"/>
      <c r="E22" s="18" t="s">
        <v>187</v>
      </c>
      <c r="F22" s="32" t="s">
        <v>63</v>
      </c>
      <c r="G22" s="20"/>
      <c r="M22" s="18" t="s">
        <v>184</v>
      </c>
      <c r="N22" s="32" t="s">
        <v>60</v>
      </c>
      <c r="O22" s="20"/>
      <c r="P22" s="17"/>
    </row>
    <row r="23" spans="1:16" ht="12.75" customHeight="1" x14ac:dyDescent="0.2">
      <c r="A23" s="18" t="s">
        <v>146</v>
      </c>
      <c r="B23" s="32" t="s">
        <v>93</v>
      </c>
      <c r="C23" s="22"/>
      <c r="E23" s="18" t="s">
        <v>188</v>
      </c>
      <c r="F23" s="32" t="s">
        <v>64</v>
      </c>
      <c r="G23" s="20"/>
      <c r="M23" s="18" t="s">
        <v>185</v>
      </c>
      <c r="N23" s="32" t="s">
        <v>61</v>
      </c>
      <c r="O23" s="22"/>
    </row>
    <row r="24" spans="1:16" ht="12.75" customHeight="1" x14ac:dyDescent="0.2">
      <c r="A24" s="18" t="s">
        <v>147</v>
      </c>
      <c r="B24" s="32" t="s">
        <v>95</v>
      </c>
      <c r="C24" s="22"/>
      <c r="E24" s="18" t="s">
        <v>189</v>
      </c>
      <c r="F24" s="32" t="s">
        <v>66</v>
      </c>
      <c r="G24" s="20"/>
      <c r="P24" s="17"/>
    </row>
    <row r="25" spans="1:16" ht="12.75" customHeight="1" x14ac:dyDescent="0.2">
      <c r="A25" s="30" t="s">
        <v>148</v>
      </c>
      <c r="B25" s="32" t="s">
        <v>97</v>
      </c>
      <c r="C25" s="22">
        <v>5</v>
      </c>
      <c r="P25" s="17"/>
    </row>
    <row r="26" spans="1:16" ht="12.75" customHeight="1" x14ac:dyDescent="0.2">
      <c r="A26" s="18" t="s">
        <v>150</v>
      </c>
      <c r="B26" s="32" t="s">
        <v>100</v>
      </c>
      <c r="C26" s="22"/>
    </row>
    <row r="27" spans="1:16" ht="12.75" customHeight="1" x14ac:dyDescent="0.2">
      <c r="A27" s="18" t="s">
        <v>151</v>
      </c>
      <c r="B27" s="32" t="s">
        <v>101</v>
      </c>
      <c r="C27" s="20"/>
      <c r="D27" s="17"/>
      <c r="M27" s="19" t="s">
        <v>129</v>
      </c>
      <c r="N27" s="32" t="s">
        <v>28</v>
      </c>
      <c r="O27" s="20"/>
    </row>
    <row r="28" spans="1:16" ht="12.75" customHeight="1" x14ac:dyDescent="0.2">
      <c r="A28" s="18" t="s">
        <v>152</v>
      </c>
      <c r="B28" s="32" t="s">
        <v>102</v>
      </c>
      <c r="C28" s="20"/>
      <c r="E28" s="18" t="s">
        <v>190</v>
      </c>
      <c r="F28" s="32" t="s">
        <v>55</v>
      </c>
      <c r="G28" s="20"/>
      <c r="M28" s="10" t="s">
        <v>130</v>
      </c>
      <c r="N28" s="32" t="s">
        <v>10</v>
      </c>
      <c r="O28" s="20"/>
    </row>
    <row r="29" spans="1:16" ht="12.75" customHeight="1" x14ac:dyDescent="0.2">
      <c r="A29" s="18" t="s">
        <v>153</v>
      </c>
      <c r="B29" s="32" t="s">
        <v>103</v>
      </c>
      <c r="C29" s="20"/>
      <c r="E29" s="18" t="s">
        <v>191</v>
      </c>
      <c r="F29" s="32" t="s">
        <v>57</v>
      </c>
      <c r="G29" s="20"/>
      <c r="M29" s="10" t="s">
        <v>149</v>
      </c>
      <c r="N29" s="32" t="s">
        <v>67</v>
      </c>
      <c r="O29" s="20"/>
    </row>
    <row r="30" spans="1:16" ht="12.75" customHeight="1" x14ac:dyDescent="0.2">
      <c r="A30" s="30" t="s">
        <v>154</v>
      </c>
      <c r="B30" s="32" t="s">
        <v>105</v>
      </c>
      <c r="C30" s="22">
        <v>3</v>
      </c>
      <c r="E30" s="18" t="s">
        <v>192</v>
      </c>
      <c r="F30" s="32" t="s">
        <v>65</v>
      </c>
      <c r="G30" s="20"/>
      <c r="M30" s="10" t="s">
        <v>137</v>
      </c>
      <c r="N30" s="32" t="s">
        <v>18</v>
      </c>
      <c r="O30" s="20"/>
    </row>
    <row r="31" spans="1:16" ht="12.75" customHeight="1" x14ac:dyDescent="0.2">
      <c r="A31" s="18" t="s">
        <v>155</v>
      </c>
      <c r="B31" s="32" t="s">
        <v>106</v>
      </c>
      <c r="C31" s="22"/>
      <c r="E31" s="18" t="s">
        <v>193</v>
      </c>
      <c r="F31" s="32" t="s">
        <v>68</v>
      </c>
      <c r="G31" s="24"/>
      <c r="M31" s="30" t="s">
        <v>165</v>
      </c>
      <c r="N31" s="32" t="s">
        <v>27</v>
      </c>
      <c r="O31" s="20">
        <v>0</v>
      </c>
    </row>
    <row r="32" spans="1:16" ht="12.75" customHeight="1" x14ac:dyDescent="0.2">
      <c r="A32" s="18" t="s">
        <v>156</v>
      </c>
      <c r="B32" s="32" t="s">
        <v>107</v>
      </c>
      <c r="C32" s="22"/>
      <c r="E32" s="18" t="s">
        <v>194</v>
      </c>
      <c r="F32" s="33" t="s">
        <v>69</v>
      </c>
      <c r="G32" s="34"/>
    </row>
    <row r="33" spans="1:15" ht="12.75" customHeight="1" x14ac:dyDescent="0.2">
      <c r="A33" s="30" t="s">
        <v>157</v>
      </c>
      <c r="B33" s="32" t="s">
        <v>108</v>
      </c>
      <c r="C33" s="20">
        <v>5</v>
      </c>
      <c r="D33" s="17"/>
      <c r="E33" s="30" t="s">
        <v>195</v>
      </c>
      <c r="F33" s="32" t="s">
        <v>70</v>
      </c>
      <c r="G33" s="25">
        <v>2</v>
      </c>
    </row>
    <row r="34" spans="1:15" ht="12.75" customHeight="1" x14ac:dyDescent="0.2">
      <c r="A34" s="18" t="s">
        <v>158</v>
      </c>
      <c r="B34" s="32" t="s">
        <v>109</v>
      </c>
      <c r="C34" s="22"/>
      <c r="E34" s="30" t="s">
        <v>196</v>
      </c>
      <c r="F34" s="32" t="s">
        <v>71</v>
      </c>
      <c r="G34" s="22">
        <v>3</v>
      </c>
      <c r="L34" s="23" t="s">
        <v>121</v>
      </c>
      <c r="M34" s="23"/>
      <c r="N34" s="23"/>
      <c r="O34" s="23">
        <f>COUNT(C4:C35,G4:G35,K4:K20,O4:O31)</f>
        <v>23</v>
      </c>
    </row>
    <row r="35" spans="1:15" ht="12.75" customHeight="1" x14ac:dyDescent="0.2">
      <c r="A35" s="30" t="s">
        <v>159</v>
      </c>
      <c r="B35" s="32" t="s">
        <v>110</v>
      </c>
      <c r="C35" s="22">
        <v>1</v>
      </c>
      <c r="E35" s="18" t="s">
        <v>197</v>
      </c>
      <c r="F35" s="32" t="s">
        <v>72</v>
      </c>
      <c r="G35" s="20"/>
      <c r="L35" s="23" t="s">
        <v>122</v>
      </c>
      <c r="M35" s="23"/>
      <c r="N35" s="23"/>
      <c r="O35" s="23">
        <f>93-O34</f>
        <v>70</v>
      </c>
    </row>
  </sheetData>
  <sortState ref="B2:C117">
    <sortCondition ref="B2:B117"/>
  </sortState>
  <mergeCells count="1">
    <mergeCell ref="A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35"/>
  <sheetViews>
    <sheetView workbookViewId="0">
      <selection sqref="A1:D1"/>
    </sheetView>
  </sheetViews>
  <sheetFormatPr baseColWidth="10" defaultColWidth="11.5703125" defaultRowHeight="12.75" x14ac:dyDescent="0.2"/>
  <cols>
    <col min="1" max="2" width="10.140625" style="10" customWidth="1"/>
    <col min="3" max="4" width="11.85546875" style="10" customWidth="1"/>
    <col min="5" max="5" width="1.5703125" style="10" customWidth="1"/>
    <col min="6" max="7" width="10.140625" style="10" customWidth="1"/>
    <col min="8" max="9" width="11.85546875" style="10" customWidth="1"/>
    <col min="10" max="16384" width="11.5703125" style="10"/>
  </cols>
  <sheetData>
    <row r="1" spans="1:9" x14ac:dyDescent="0.2">
      <c r="A1" s="42" t="s">
        <v>75</v>
      </c>
      <c r="B1" s="42"/>
      <c r="C1" s="42"/>
      <c r="D1" s="42"/>
      <c r="F1" s="43" t="s">
        <v>76</v>
      </c>
      <c r="G1" s="43"/>
      <c r="H1" s="43"/>
      <c r="I1" s="43"/>
    </row>
    <row r="2" spans="1:9" x14ac:dyDescent="0.2">
      <c r="A2" s="13"/>
      <c r="B2" s="13"/>
      <c r="C2" s="13"/>
      <c r="D2" s="13"/>
    </row>
    <row r="3" spans="1:9" x14ac:dyDescent="0.2">
      <c r="A3" s="14" t="s">
        <v>2</v>
      </c>
      <c r="B3" s="14" t="s">
        <v>3</v>
      </c>
      <c r="C3" s="14" t="s">
        <v>4</v>
      </c>
      <c r="D3" s="14" t="s">
        <v>5</v>
      </c>
      <c r="E3" s="15"/>
      <c r="F3" s="14" t="s">
        <v>2</v>
      </c>
      <c r="G3" s="14" t="s">
        <v>3</v>
      </c>
      <c r="H3" s="14" t="s">
        <v>4</v>
      </c>
      <c r="I3" s="14" t="s">
        <v>5</v>
      </c>
    </row>
    <row r="4" spans="1:9" x14ac:dyDescent="0.2">
      <c r="A4" s="11" t="s">
        <v>10</v>
      </c>
      <c r="B4" s="27">
        <f>_XD</f>
        <v>0</v>
      </c>
      <c r="C4" s="15"/>
      <c r="D4" s="15"/>
      <c r="E4" s="15"/>
      <c r="F4" s="11" t="s">
        <v>77</v>
      </c>
      <c r="G4" s="27">
        <f>_2A</f>
        <v>0</v>
      </c>
      <c r="H4" s="15"/>
      <c r="I4" s="15"/>
    </row>
    <row r="5" spans="1:9" x14ac:dyDescent="0.2">
      <c r="A5" s="11" t="s">
        <v>78</v>
      </c>
      <c r="B5" s="27">
        <f>_1A</f>
        <v>0</v>
      </c>
      <c r="C5" s="16">
        <f>B4+B5</f>
        <v>0</v>
      </c>
      <c r="D5" s="15"/>
      <c r="E5" s="15"/>
      <c r="F5" s="11" t="s">
        <v>79</v>
      </c>
      <c r="G5" s="27">
        <f>_2B</f>
        <v>5</v>
      </c>
      <c r="H5" s="16">
        <f>G4+G5</f>
        <v>5</v>
      </c>
      <c r="I5" s="15"/>
    </row>
    <row r="6" spans="1:9" x14ac:dyDescent="0.2">
      <c r="A6" s="11" t="s">
        <v>80</v>
      </c>
      <c r="B6" s="27">
        <f>_1B</f>
        <v>0</v>
      </c>
      <c r="C6" s="15"/>
      <c r="D6" s="15"/>
      <c r="E6" s="15"/>
      <c r="F6" s="11" t="s">
        <v>81</v>
      </c>
      <c r="G6" s="27">
        <f>_2C</f>
        <v>3</v>
      </c>
      <c r="H6" s="15"/>
      <c r="I6" s="15"/>
    </row>
    <row r="7" spans="1:9" x14ac:dyDescent="0.2">
      <c r="A7" s="11" t="s">
        <v>82</v>
      </c>
      <c r="B7" s="27">
        <f>_1C</f>
        <v>0</v>
      </c>
      <c r="C7" s="16">
        <f>B6+B7</f>
        <v>0</v>
      </c>
      <c r="D7" s="15"/>
      <c r="E7" s="15"/>
      <c r="F7" s="11" t="s">
        <v>83</v>
      </c>
      <c r="G7" s="27">
        <f>_2D</f>
        <v>2</v>
      </c>
      <c r="H7" s="16">
        <f>G6+G7</f>
        <v>5</v>
      </c>
      <c r="I7" s="15"/>
    </row>
    <row r="8" spans="1:9" x14ac:dyDescent="0.2">
      <c r="A8" s="11" t="s">
        <v>84</v>
      </c>
      <c r="B8" s="27">
        <f>_1D</f>
        <v>9</v>
      </c>
      <c r="C8" s="15"/>
      <c r="D8" s="15"/>
      <c r="E8" s="15"/>
      <c r="F8" s="11" t="s">
        <v>85</v>
      </c>
      <c r="G8" s="27">
        <f>_2E</f>
        <v>0</v>
      </c>
      <c r="H8" s="15"/>
      <c r="I8" s="15"/>
    </row>
    <row r="9" spans="1:9" x14ac:dyDescent="0.2">
      <c r="A9" s="11" t="s">
        <v>86</v>
      </c>
      <c r="B9" s="27">
        <f>_1E</f>
        <v>0</v>
      </c>
      <c r="C9" s="16">
        <f>B8+B9</f>
        <v>9</v>
      </c>
      <c r="D9" s="16">
        <f>C5*C7*C9</f>
        <v>0</v>
      </c>
      <c r="E9" s="15"/>
      <c r="F9" s="11" t="s">
        <v>87</v>
      </c>
      <c r="G9" s="27">
        <f>_2F</f>
        <v>0</v>
      </c>
      <c r="H9" s="16">
        <f>G8+G9</f>
        <v>0</v>
      </c>
      <c r="I9" s="16">
        <f>H5*H7*H9</f>
        <v>0</v>
      </c>
    </row>
    <row r="10" spans="1:9" x14ac:dyDescent="0.2">
      <c r="A10" s="11" t="s">
        <v>88</v>
      </c>
      <c r="B10" s="27">
        <f>_1F</f>
        <v>0</v>
      </c>
      <c r="C10" s="15"/>
      <c r="D10" s="15"/>
      <c r="E10" s="15"/>
      <c r="F10" s="11" t="s">
        <v>89</v>
      </c>
      <c r="G10" s="27">
        <f>_2G</f>
        <v>0</v>
      </c>
      <c r="H10" s="15"/>
      <c r="I10" s="15"/>
    </row>
    <row r="11" spans="1:9" x14ac:dyDescent="0.2">
      <c r="A11" s="11" t="s">
        <v>28</v>
      </c>
      <c r="B11" s="27">
        <f>_XB</f>
        <v>0</v>
      </c>
      <c r="C11" s="16">
        <f>B10+B11</f>
        <v>0</v>
      </c>
      <c r="D11" s="15"/>
      <c r="E11" s="15"/>
      <c r="F11" s="11" t="s">
        <v>18</v>
      </c>
      <c r="G11" s="27">
        <f>_XF</f>
        <v>0</v>
      </c>
      <c r="H11" s="16">
        <f>G10+G11</f>
        <v>0</v>
      </c>
      <c r="I11" s="15"/>
    </row>
    <row r="12" spans="1:9" x14ac:dyDescent="0.2">
      <c r="A12" s="11" t="s">
        <v>90</v>
      </c>
      <c r="B12" s="27">
        <f>_AA</f>
        <v>6</v>
      </c>
      <c r="C12" s="15"/>
      <c r="D12" s="15"/>
      <c r="E12" s="15"/>
      <c r="F12" s="11" t="s">
        <v>91</v>
      </c>
      <c r="G12" s="27">
        <f>_2H</f>
        <v>0</v>
      </c>
      <c r="H12" s="15"/>
      <c r="I12" s="15"/>
    </row>
    <row r="13" spans="1:9" x14ac:dyDescent="0.2">
      <c r="A13" s="11" t="s">
        <v>92</v>
      </c>
      <c r="B13" s="27">
        <f>_AB</f>
        <v>0</v>
      </c>
      <c r="C13" s="16">
        <f>B12+B13</f>
        <v>6</v>
      </c>
      <c r="D13" s="15"/>
      <c r="E13" s="15"/>
      <c r="F13" s="11" t="s">
        <v>93</v>
      </c>
      <c r="G13" s="27">
        <f>_2I</f>
        <v>0</v>
      </c>
      <c r="H13" s="16">
        <f>G12+G13</f>
        <v>0</v>
      </c>
      <c r="I13" s="15"/>
    </row>
    <row r="14" spans="1:9" x14ac:dyDescent="0.2">
      <c r="A14" s="11" t="s">
        <v>94</v>
      </c>
      <c r="B14" s="27">
        <f>_1G</f>
        <v>0</v>
      </c>
      <c r="C14" s="15"/>
      <c r="D14" s="15"/>
      <c r="E14" s="15"/>
      <c r="F14" s="11" t="s">
        <v>95</v>
      </c>
      <c r="G14" s="27">
        <f>_2J</f>
        <v>0</v>
      </c>
      <c r="H14" s="15"/>
      <c r="I14" s="15"/>
    </row>
    <row r="15" spans="1:9" x14ac:dyDescent="0.2">
      <c r="A15" s="11" t="s">
        <v>96</v>
      </c>
      <c r="B15" s="27">
        <f>_1H</f>
        <v>0</v>
      </c>
      <c r="C15" s="16">
        <f>B14+B15</f>
        <v>0</v>
      </c>
      <c r="D15" s="16">
        <f>C11*C13*C15</f>
        <v>0</v>
      </c>
      <c r="E15" s="15"/>
      <c r="F15" s="11" t="s">
        <v>97</v>
      </c>
      <c r="G15" s="27">
        <f>_2K</f>
        <v>5</v>
      </c>
      <c r="H15" s="16">
        <f>G14+G15</f>
        <v>5</v>
      </c>
      <c r="I15" s="16">
        <f>H11*H13*H15</f>
        <v>0</v>
      </c>
    </row>
    <row r="16" spans="1:9" x14ac:dyDescent="0.2">
      <c r="A16" s="11" t="s">
        <v>98</v>
      </c>
      <c r="B16" s="27">
        <f>_1I</f>
        <v>0</v>
      </c>
      <c r="C16" s="15"/>
      <c r="D16" s="15"/>
      <c r="E16" s="15"/>
      <c r="F16" s="11" t="s">
        <v>28</v>
      </c>
      <c r="G16" s="27">
        <f>_XB</f>
        <v>0</v>
      </c>
      <c r="H16" s="15"/>
      <c r="I16" s="15"/>
    </row>
    <row r="17" spans="1:9" x14ac:dyDescent="0.2">
      <c r="A17" s="11" t="s">
        <v>99</v>
      </c>
      <c r="B17" s="27">
        <f>_1J</f>
        <v>0</v>
      </c>
      <c r="C17" s="16">
        <f>B16+B17</f>
        <v>0</v>
      </c>
      <c r="D17" s="16">
        <f>C17</f>
        <v>0</v>
      </c>
      <c r="E17" s="15"/>
      <c r="F17" s="11" t="s">
        <v>90</v>
      </c>
      <c r="G17" s="27">
        <f>_AA</f>
        <v>6</v>
      </c>
      <c r="H17" s="16">
        <f>G16+G17</f>
        <v>6</v>
      </c>
      <c r="I17" s="15"/>
    </row>
    <row r="18" spans="1:9" x14ac:dyDescent="0.2">
      <c r="D18" s="15"/>
      <c r="E18" s="15"/>
      <c r="F18" s="11" t="s">
        <v>92</v>
      </c>
      <c r="G18" s="27">
        <f>_AB</f>
        <v>0</v>
      </c>
      <c r="H18" s="15"/>
      <c r="I18" s="15"/>
    </row>
    <row r="19" spans="1:9" x14ac:dyDescent="0.2">
      <c r="E19" s="15"/>
      <c r="F19" s="11" t="s">
        <v>100</v>
      </c>
      <c r="G19" s="27">
        <f>_2L</f>
        <v>0</v>
      </c>
      <c r="H19" s="16">
        <f>G18+G19</f>
        <v>0</v>
      </c>
      <c r="I19" s="15"/>
    </row>
    <row r="20" spans="1:9" x14ac:dyDescent="0.2">
      <c r="E20" s="15"/>
      <c r="F20" s="11" t="s">
        <v>101</v>
      </c>
      <c r="G20" s="27">
        <f>_2M</f>
        <v>0</v>
      </c>
      <c r="H20" s="15"/>
      <c r="I20" s="15"/>
    </row>
    <row r="21" spans="1:9" x14ac:dyDescent="0.2">
      <c r="E21" s="15"/>
      <c r="F21" s="11" t="s">
        <v>102</v>
      </c>
      <c r="G21" s="27">
        <f>_2N</f>
        <v>0</v>
      </c>
      <c r="H21" s="16">
        <f>G20+G21</f>
        <v>0</v>
      </c>
      <c r="I21" s="16">
        <f>H17*H19*H21</f>
        <v>0</v>
      </c>
    </row>
    <row r="22" spans="1:9" x14ac:dyDescent="0.2">
      <c r="E22" s="15"/>
      <c r="F22" s="11" t="s">
        <v>103</v>
      </c>
      <c r="G22" s="27">
        <f>_2O</f>
        <v>0</v>
      </c>
      <c r="H22" s="15"/>
      <c r="I22" s="15"/>
    </row>
    <row r="23" spans="1:9" x14ac:dyDescent="0.2">
      <c r="E23" s="15"/>
      <c r="F23" s="11" t="s">
        <v>104</v>
      </c>
      <c r="G23" s="27">
        <f>_XE</f>
        <v>0</v>
      </c>
      <c r="H23" s="16">
        <f>G22+G23</f>
        <v>0</v>
      </c>
      <c r="I23" s="15"/>
    </row>
    <row r="24" spans="1:9" x14ac:dyDescent="0.2">
      <c r="E24" s="15"/>
      <c r="F24" s="11" t="s">
        <v>105</v>
      </c>
      <c r="G24" s="27">
        <f>_2P</f>
        <v>3</v>
      </c>
      <c r="H24" s="15"/>
      <c r="I24" s="15"/>
    </row>
    <row r="25" spans="1:9" x14ac:dyDescent="0.2">
      <c r="E25" s="15"/>
      <c r="F25" s="11" t="s">
        <v>106</v>
      </c>
      <c r="G25" s="27">
        <f>_2Q</f>
        <v>0</v>
      </c>
      <c r="H25" s="16">
        <f>G24+G25</f>
        <v>3</v>
      </c>
      <c r="I25" s="15"/>
    </row>
    <row r="26" spans="1:9" x14ac:dyDescent="0.2">
      <c r="E26" s="15"/>
      <c r="F26" s="11" t="s">
        <v>107</v>
      </c>
      <c r="G26" s="27">
        <f>_2R</f>
        <v>0</v>
      </c>
      <c r="H26" s="15"/>
      <c r="I26" s="15"/>
    </row>
    <row r="27" spans="1:9" x14ac:dyDescent="0.2">
      <c r="E27" s="15"/>
      <c r="F27" s="11" t="s">
        <v>108</v>
      </c>
      <c r="G27" s="27">
        <f>_2S</f>
        <v>5</v>
      </c>
      <c r="H27" s="16">
        <f>G26+G27</f>
        <v>5</v>
      </c>
      <c r="I27" s="16">
        <f>H23*H25*H27</f>
        <v>0</v>
      </c>
    </row>
    <row r="28" spans="1:9" x14ac:dyDescent="0.2">
      <c r="E28" s="15"/>
      <c r="F28" s="11" t="s">
        <v>109</v>
      </c>
      <c r="G28" s="27">
        <f>_2T</f>
        <v>0</v>
      </c>
      <c r="H28" s="15"/>
      <c r="I28" s="15"/>
    </row>
    <row r="29" spans="1:9" x14ac:dyDescent="0.2">
      <c r="A29" s="15"/>
      <c r="B29" s="15"/>
      <c r="C29" s="15"/>
      <c r="D29" s="15"/>
      <c r="E29" s="15"/>
      <c r="F29" s="11" t="s">
        <v>110</v>
      </c>
      <c r="G29" s="27">
        <f>_2U</f>
        <v>1</v>
      </c>
      <c r="H29" s="16">
        <f>G28+G29</f>
        <v>1</v>
      </c>
      <c r="I29" s="16">
        <f>H29</f>
        <v>1</v>
      </c>
    </row>
    <row r="30" spans="1:9" x14ac:dyDescent="0.2">
      <c r="A30" s="15"/>
      <c r="B30" s="15"/>
      <c r="C30" s="15"/>
      <c r="D30" s="15"/>
      <c r="E30" s="15"/>
      <c r="F30" s="15"/>
      <c r="G30" s="15"/>
      <c r="H30" s="15"/>
      <c r="I30" s="15"/>
    </row>
    <row r="31" spans="1:9" x14ac:dyDescent="0.2">
      <c r="A31" s="44" t="s">
        <v>47</v>
      </c>
      <c r="B31" s="44"/>
      <c r="C31" s="44" t="s">
        <v>48</v>
      </c>
      <c r="D31" s="44"/>
      <c r="F31" s="44" t="s">
        <v>49</v>
      </c>
      <c r="G31" s="44"/>
      <c r="H31" s="44" t="s">
        <v>48</v>
      </c>
      <c r="I31" s="44"/>
    </row>
    <row r="32" spans="1:9" x14ac:dyDescent="0.2">
      <c r="A32" s="39">
        <v>5063</v>
      </c>
      <c r="B32" s="39"/>
      <c r="C32" s="40">
        <f>D9+D15+D17</f>
        <v>0</v>
      </c>
      <c r="D32" s="40"/>
      <c r="E32" s="15"/>
      <c r="F32" s="39">
        <v>30437</v>
      </c>
      <c r="G32" s="39"/>
      <c r="H32" s="40">
        <f>I9+I15+I21+I27+I29</f>
        <v>1</v>
      </c>
      <c r="I32" s="40"/>
    </row>
    <row r="33" spans="1:9" x14ac:dyDescent="0.2">
      <c r="A33" s="41" t="str">
        <f>CONCATENATE("N 48° ",TEXT((A32+C32)/1000,"00,000"),"'")</f>
        <v>N 48° 05,063'</v>
      </c>
      <c r="B33" s="41"/>
      <c r="C33" s="41"/>
      <c r="D33" s="41"/>
      <c r="E33" s="15"/>
      <c r="F33" s="41" t="str">
        <f>CONCATENATE("E 011° ",TEXT((F32+H32)/1000,"00,000"),"'")</f>
        <v>E 011° 30,438'</v>
      </c>
      <c r="G33" s="41"/>
      <c r="H33" s="41"/>
      <c r="I33" s="41"/>
    </row>
    <row r="35" spans="1:9" x14ac:dyDescent="0.2">
      <c r="A35" s="38" t="s">
        <v>111</v>
      </c>
      <c r="B35" s="38"/>
      <c r="C35" s="38"/>
      <c r="D35" s="38"/>
      <c r="F35" s="38" t="s">
        <v>3</v>
      </c>
      <c r="G35" s="38"/>
      <c r="H35" s="11" t="s">
        <v>112</v>
      </c>
      <c r="I35" s="12"/>
    </row>
  </sheetData>
  <sheetProtection selectLockedCells="1" selectUnlockedCells="1"/>
  <mergeCells count="14">
    <mergeCell ref="H32:I32"/>
    <mergeCell ref="A33:D33"/>
    <mergeCell ref="F33:I33"/>
    <mergeCell ref="A1:D1"/>
    <mergeCell ref="F1:I1"/>
    <mergeCell ref="A31:B31"/>
    <mergeCell ref="C31:D31"/>
    <mergeCell ref="F31:G31"/>
    <mergeCell ref="H31:I31"/>
    <mergeCell ref="A35:D35"/>
    <mergeCell ref="F35:G35"/>
    <mergeCell ref="A32:B32"/>
    <mergeCell ref="C32:D32"/>
    <mergeCell ref="F32:G32"/>
  </mergeCells>
  <pageMargins left="0.6694444444444444" right="0.6694444444444444" top="0.90694444444444444" bottom="0.90694444444444444" header="0.6694444444444444" footer="0.6694444444444444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36"/>
  <sheetViews>
    <sheetView workbookViewId="0">
      <selection sqref="A1:D1"/>
    </sheetView>
  </sheetViews>
  <sheetFormatPr baseColWidth="10" defaultColWidth="11.5703125" defaultRowHeight="12.75" x14ac:dyDescent="0.2"/>
  <cols>
    <col min="1" max="2" width="10.140625" style="10" customWidth="1"/>
    <col min="3" max="4" width="11.85546875" style="10" customWidth="1"/>
    <col min="5" max="5" width="1.5703125" style="10" customWidth="1"/>
    <col min="6" max="7" width="10.140625" style="10" customWidth="1"/>
    <col min="8" max="9" width="11.85546875" style="10" customWidth="1"/>
    <col min="10" max="16384" width="11.5703125" style="10"/>
  </cols>
  <sheetData>
    <row r="1" spans="1:9" x14ac:dyDescent="0.2">
      <c r="A1" s="45" t="s">
        <v>52</v>
      </c>
      <c r="B1" s="45"/>
      <c r="C1" s="45"/>
      <c r="D1" s="45"/>
      <c r="F1" s="46" t="s">
        <v>53</v>
      </c>
      <c r="G1" s="46"/>
      <c r="H1" s="46"/>
      <c r="I1" s="46"/>
    </row>
    <row r="2" spans="1:9" x14ac:dyDescent="0.2">
      <c r="A2" s="13"/>
      <c r="B2" s="13"/>
      <c r="C2" s="13"/>
      <c r="D2" s="13"/>
    </row>
    <row r="3" spans="1:9" x14ac:dyDescent="0.2">
      <c r="A3" s="14" t="s">
        <v>2</v>
      </c>
      <c r="B3" s="14" t="s">
        <v>3</v>
      </c>
      <c r="C3" s="14" t="s">
        <v>4</v>
      </c>
      <c r="D3" s="14" t="s">
        <v>5</v>
      </c>
      <c r="E3" s="15"/>
      <c r="F3" s="14" t="s">
        <v>2</v>
      </c>
      <c r="G3" s="14" t="s">
        <v>3</v>
      </c>
      <c r="H3" s="14" t="s">
        <v>4</v>
      </c>
      <c r="I3" s="14" t="s">
        <v>5</v>
      </c>
    </row>
    <row r="4" spans="1:9" x14ac:dyDescent="0.2">
      <c r="A4" s="11" t="s">
        <v>54</v>
      </c>
      <c r="B4" s="27">
        <f>_CA</f>
        <v>0</v>
      </c>
      <c r="C4" s="15"/>
      <c r="D4" s="15"/>
      <c r="E4" s="15"/>
      <c r="F4" s="11" t="s">
        <v>55</v>
      </c>
      <c r="G4" s="27">
        <f>_5A</f>
        <v>0</v>
      </c>
      <c r="H4" s="15"/>
      <c r="I4" s="15"/>
    </row>
    <row r="5" spans="1:9" x14ac:dyDescent="0.2">
      <c r="A5" s="11" t="s">
        <v>56</v>
      </c>
      <c r="B5" s="27">
        <f>_CB</f>
        <v>0</v>
      </c>
      <c r="C5" s="16">
        <f>B4+B5</f>
        <v>0</v>
      </c>
      <c r="D5" s="15"/>
      <c r="E5" s="15"/>
      <c r="F5" s="11" t="s">
        <v>57</v>
      </c>
      <c r="G5" s="27">
        <f>_5B</f>
        <v>0</v>
      </c>
      <c r="H5" s="16">
        <f>G4+G5</f>
        <v>0</v>
      </c>
      <c r="I5" s="15"/>
    </row>
    <row r="6" spans="1:9" x14ac:dyDescent="0.2">
      <c r="A6" s="11" t="s">
        <v>58</v>
      </c>
      <c r="B6" s="27">
        <f>_CC</f>
        <v>0</v>
      </c>
      <c r="C6" s="15"/>
      <c r="D6" s="15"/>
      <c r="E6" s="15"/>
      <c r="F6" s="11" t="s">
        <v>54</v>
      </c>
      <c r="G6" s="27">
        <f>_CA</f>
        <v>0</v>
      </c>
      <c r="H6" s="15"/>
      <c r="I6" s="15"/>
    </row>
    <row r="7" spans="1:9" x14ac:dyDescent="0.2">
      <c r="A7" s="11" t="s">
        <v>59</v>
      </c>
      <c r="B7" s="27">
        <f>_CD</f>
        <v>0</v>
      </c>
      <c r="C7" s="16">
        <f>B6+B7</f>
        <v>0</v>
      </c>
      <c r="D7" s="15"/>
      <c r="E7" s="15"/>
      <c r="F7" s="11" t="s">
        <v>56</v>
      </c>
      <c r="G7" s="27">
        <f>_CB</f>
        <v>0</v>
      </c>
      <c r="H7" s="16">
        <f>G6+G7</f>
        <v>0</v>
      </c>
      <c r="I7" s="15"/>
    </row>
    <row r="8" spans="1:9" x14ac:dyDescent="0.2">
      <c r="A8" s="11" t="s">
        <v>27</v>
      </c>
      <c r="B8" s="27">
        <f>_XG</f>
        <v>0</v>
      </c>
      <c r="C8" s="15"/>
      <c r="D8" s="15"/>
      <c r="E8" s="15"/>
      <c r="F8" s="11" t="s">
        <v>58</v>
      </c>
      <c r="G8" s="27">
        <f>_CC</f>
        <v>0</v>
      </c>
      <c r="H8" s="15"/>
      <c r="I8" s="15"/>
    </row>
    <row r="9" spans="1:9" x14ac:dyDescent="0.2">
      <c r="A9" s="11" t="s">
        <v>60</v>
      </c>
      <c r="B9" s="27">
        <f>_CF</f>
        <v>0</v>
      </c>
      <c r="C9" s="16">
        <f>B8+B9</f>
        <v>0</v>
      </c>
      <c r="D9" s="16">
        <f>C5*C7*C9</f>
        <v>0</v>
      </c>
      <c r="E9" s="15"/>
      <c r="F9" s="11" t="s">
        <v>59</v>
      </c>
      <c r="G9" s="27">
        <f>_CD</f>
        <v>0</v>
      </c>
      <c r="H9" s="16">
        <f>G8+G9</f>
        <v>0</v>
      </c>
      <c r="I9" s="16">
        <f>H5*H7*H9</f>
        <v>0</v>
      </c>
    </row>
    <row r="10" spans="1:9" x14ac:dyDescent="0.2">
      <c r="A10" s="11" t="s">
        <v>61</v>
      </c>
      <c r="B10" s="27">
        <f>_CG</f>
        <v>0</v>
      </c>
      <c r="C10" s="15"/>
      <c r="D10" s="15"/>
      <c r="E10" s="15"/>
      <c r="F10" s="11" t="s">
        <v>27</v>
      </c>
      <c r="G10" s="27">
        <f>_XG</f>
        <v>0</v>
      </c>
      <c r="H10" s="15"/>
      <c r="I10" s="15"/>
    </row>
    <row r="11" spans="1:9" x14ac:dyDescent="0.2">
      <c r="A11" s="11" t="s">
        <v>62</v>
      </c>
      <c r="B11" s="27">
        <f>_4A</f>
        <v>0</v>
      </c>
      <c r="C11" s="16">
        <f>B10+B11</f>
        <v>0</v>
      </c>
      <c r="D11" s="15"/>
      <c r="E11" s="15"/>
      <c r="F11" s="11" t="s">
        <v>60</v>
      </c>
      <c r="G11" s="27">
        <f>_CF</f>
        <v>0</v>
      </c>
      <c r="H11" s="16">
        <f>G10+G11</f>
        <v>0</v>
      </c>
      <c r="I11" s="15"/>
    </row>
    <row r="12" spans="1:9" x14ac:dyDescent="0.2">
      <c r="A12" s="11" t="s">
        <v>63</v>
      </c>
      <c r="B12" s="27">
        <f>_4B</f>
        <v>0</v>
      </c>
      <c r="C12" s="15"/>
      <c r="D12" s="15"/>
      <c r="E12" s="15"/>
      <c r="F12" s="11" t="s">
        <v>61</v>
      </c>
      <c r="G12" s="27">
        <f>_CG</f>
        <v>0</v>
      </c>
      <c r="H12" s="15"/>
      <c r="I12" s="15"/>
    </row>
    <row r="13" spans="1:9" x14ac:dyDescent="0.2">
      <c r="A13" s="11" t="s">
        <v>64</v>
      </c>
      <c r="B13" s="27">
        <f>_4C</f>
        <v>0</v>
      </c>
      <c r="C13" s="16">
        <f>B12+B13</f>
        <v>0</v>
      </c>
      <c r="D13" s="15"/>
      <c r="E13" s="15"/>
      <c r="F13" s="11" t="s">
        <v>65</v>
      </c>
      <c r="G13" s="27">
        <f>_5C</f>
        <v>0</v>
      </c>
      <c r="H13" s="16">
        <f>G12+G13</f>
        <v>0</v>
      </c>
      <c r="I13" s="15"/>
    </row>
    <row r="14" spans="1:9" x14ac:dyDescent="0.2">
      <c r="A14" s="11" t="s">
        <v>66</v>
      </c>
      <c r="B14" s="27">
        <f>_4D</f>
        <v>0</v>
      </c>
      <c r="C14" s="16">
        <f>B14*1</f>
        <v>0</v>
      </c>
      <c r="D14" s="16">
        <f>C14*C13*C11</f>
        <v>0</v>
      </c>
      <c r="E14" s="15"/>
      <c r="F14" s="11" t="s">
        <v>67</v>
      </c>
      <c r="G14" s="27">
        <f>_XE</f>
        <v>0</v>
      </c>
      <c r="H14" s="15"/>
      <c r="I14" s="15"/>
    </row>
    <row r="15" spans="1:9" x14ac:dyDescent="0.2">
      <c r="E15" s="15"/>
      <c r="F15" s="11" t="s">
        <v>68</v>
      </c>
      <c r="G15" s="27">
        <f>_5D</f>
        <v>0</v>
      </c>
      <c r="H15" s="16">
        <f>G14+G15</f>
        <v>0</v>
      </c>
      <c r="I15" s="16">
        <f>H11*H13*H15</f>
        <v>0</v>
      </c>
    </row>
    <row r="16" spans="1:9" x14ac:dyDescent="0.2">
      <c r="E16" s="15"/>
      <c r="F16" s="11" t="s">
        <v>69</v>
      </c>
      <c r="G16" s="27">
        <f>_5E</f>
        <v>0</v>
      </c>
      <c r="H16" s="15"/>
      <c r="I16" s="15"/>
    </row>
    <row r="17" spans="1:9" x14ac:dyDescent="0.2">
      <c r="E17" s="15"/>
      <c r="F17" s="11" t="s">
        <v>70</v>
      </c>
      <c r="G17" s="27">
        <f>_5F</f>
        <v>2</v>
      </c>
      <c r="H17" s="16">
        <f>G16+G17</f>
        <v>2</v>
      </c>
      <c r="I17" s="15"/>
    </row>
    <row r="18" spans="1:9" x14ac:dyDescent="0.2">
      <c r="E18" s="15"/>
      <c r="F18" s="11" t="s">
        <v>71</v>
      </c>
      <c r="G18" s="27">
        <f>_5G</f>
        <v>3</v>
      </c>
      <c r="H18" s="15"/>
      <c r="I18" s="15"/>
    </row>
    <row r="19" spans="1:9" x14ac:dyDescent="0.2">
      <c r="E19" s="15"/>
      <c r="F19" s="11" t="s">
        <v>72</v>
      </c>
      <c r="G19" s="27">
        <f>_5H</f>
        <v>0</v>
      </c>
      <c r="H19" s="16">
        <f>G18+G19</f>
        <v>3</v>
      </c>
      <c r="I19" s="16">
        <f>H19*H17</f>
        <v>6</v>
      </c>
    </row>
    <row r="20" spans="1:9" x14ac:dyDescent="0.2">
      <c r="E20" s="15"/>
    </row>
    <row r="21" spans="1:9" x14ac:dyDescent="0.2">
      <c r="E21" s="15"/>
    </row>
    <row r="22" spans="1:9" x14ac:dyDescent="0.2">
      <c r="E22" s="15"/>
    </row>
    <row r="23" spans="1:9" x14ac:dyDescent="0.2">
      <c r="E23" s="15"/>
    </row>
    <row r="24" spans="1:9" x14ac:dyDescent="0.2">
      <c r="E24" s="15"/>
    </row>
    <row r="25" spans="1:9" x14ac:dyDescent="0.2">
      <c r="E25" s="15"/>
    </row>
    <row r="26" spans="1:9" x14ac:dyDescent="0.2">
      <c r="E26" s="15"/>
    </row>
    <row r="27" spans="1:9" x14ac:dyDescent="0.2">
      <c r="E27" s="15"/>
    </row>
    <row r="28" spans="1:9" x14ac:dyDescent="0.2">
      <c r="A28" s="15"/>
      <c r="B28" s="15"/>
      <c r="C28" s="15"/>
      <c r="D28" s="15"/>
      <c r="E28" s="15"/>
    </row>
    <row r="29" spans="1:9" x14ac:dyDescent="0.2">
      <c r="A29" s="15"/>
      <c r="B29" s="15"/>
      <c r="C29" s="15"/>
      <c r="D29" s="15"/>
      <c r="E29" s="15"/>
    </row>
    <row r="30" spans="1:9" x14ac:dyDescent="0.2">
      <c r="A30" s="15"/>
      <c r="B30" s="15"/>
      <c r="C30" s="15"/>
      <c r="D30" s="15"/>
      <c r="E30" s="15"/>
      <c r="F30" s="15"/>
      <c r="G30" s="15"/>
      <c r="H30" s="15"/>
      <c r="I30" s="15"/>
    </row>
    <row r="31" spans="1:9" x14ac:dyDescent="0.2">
      <c r="A31" s="44" t="s">
        <v>47</v>
      </c>
      <c r="B31" s="44"/>
      <c r="C31" s="44" t="s">
        <v>48</v>
      </c>
      <c r="D31" s="44"/>
      <c r="F31" s="44" t="s">
        <v>49</v>
      </c>
      <c r="G31" s="44"/>
      <c r="H31" s="44" t="s">
        <v>48</v>
      </c>
      <c r="I31" s="44"/>
    </row>
    <row r="32" spans="1:9" x14ac:dyDescent="0.2">
      <c r="A32" s="39">
        <v>7513</v>
      </c>
      <c r="B32" s="39"/>
      <c r="C32" s="40">
        <f>D9+D14</f>
        <v>0</v>
      </c>
      <c r="D32" s="40"/>
      <c r="E32" s="15"/>
      <c r="F32" s="39">
        <v>30040</v>
      </c>
      <c r="G32" s="39"/>
      <c r="H32" s="40">
        <f>I9+I15+I19</f>
        <v>6</v>
      </c>
      <c r="I32" s="40"/>
    </row>
    <row r="33" spans="1:9" x14ac:dyDescent="0.2">
      <c r="A33" s="41" t="str">
        <f>CONCATENATE("N 48° ",TEXT((A32+C32)/1000,"00,000"),"'")</f>
        <v>N 48° 07,513'</v>
      </c>
      <c r="B33" s="41"/>
      <c r="C33" s="41"/>
      <c r="D33" s="41"/>
      <c r="E33" s="15"/>
      <c r="F33" s="41" t="str">
        <f>CONCATENATE("E 011° ",TEXT((F32+H32)/1000,"00,000"),"'")</f>
        <v>E 011° 30,046'</v>
      </c>
      <c r="G33" s="41"/>
      <c r="H33" s="41"/>
      <c r="I33" s="41"/>
    </row>
    <row r="34" spans="1:9" x14ac:dyDescent="0.2">
      <c r="A34" s="15"/>
      <c r="B34" s="15"/>
      <c r="C34" s="15"/>
      <c r="D34" s="15"/>
    </row>
    <row r="35" spans="1:9" x14ac:dyDescent="0.2">
      <c r="A35" s="38" t="s">
        <v>73</v>
      </c>
      <c r="B35" s="38"/>
      <c r="C35" s="38"/>
      <c r="D35" s="38"/>
      <c r="F35" s="38" t="s">
        <v>3</v>
      </c>
      <c r="G35" s="38"/>
      <c r="H35" s="11" t="s">
        <v>74</v>
      </c>
      <c r="I35" s="36"/>
    </row>
    <row r="36" spans="1:9" x14ac:dyDescent="0.2">
      <c r="A36" s="15"/>
      <c r="B36" s="15"/>
      <c r="C36" s="15"/>
      <c r="D36" s="15"/>
    </row>
  </sheetData>
  <sheetProtection selectLockedCells="1" selectUnlockedCells="1"/>
  <mergeCells count="14">
    <mergeCell ref="H32:I32"/>
    <mergeCell ref="A33:D33"/>
    <mergeCell ref="F33:I33"/>
    <mergeCell ref="A1:D1"/>
    <mergeCell ref="F1:I1"/>
    <mergeCell ref="A31:B31"/>
    <mergeCell ref="C31:D31"/>
    <mergeCell ref="F31:G31"/>
    <mergeCell ref="H31:I31"/>
    <mergeCell ref="A35:D35"/>
    <mergeCell ref="F35:G35"/>
    <mergeCell ref="A32:B32"/>
    <mergeCell ref="C32:D32"/>
    <mergeCell ref="F32:G32"/>
  </mergeCells>
  <pageMargins left="0.6694444444444444" right="0.6694444444444444" top="0.90694444444444444" bottom="0.90694444444444444" header="0.6694444444444444" footer="0.6694444444444444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35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2" width="10.140625" style="15" customWidth="1"/>
    <col min="3" max="4" width="11.85546875" style="15" customWidth="1"/>
    <col min="5" max="5" width="1.5703125" style="10" customWidth="1"/>
    <col min="6" max="7" width="10.140625" style="10" customWidth="1"/>
    <col min="8" max="9" width="11.85546875" style="10" customWidth="1"/>
    <col min="10" max="16384" width="11.5703125" style="10"/>
  </cols>
  <sheetData>
    <row r="1" spans="1:9" x14ac:dyDescent="0.2">
      <c r="A1" s="46" t="s">
        <v>0</v>
      </c>
      <c r="B1" s="46"/>
      <c r="C1" s="46"/>
      <c r="D1" s="46"/>
      <c r="F1" s="47" t="s">
        <v>1</v>
      </c>
      <c r="G1" s="47"/>
      <c r="H1" s="47"/>
      <c r="I1" s="47"/>
    </row>
    <row r="2" spans="1:9" x14ac:dyDescent="0.2">
      <c r="A2" s="13"/>
      <c r="B2" s="13"/>
      <c r="C2" s="13"/>
      <c r="D2" s="13"/>
    </row>
    <row r="3" spans="1:9" x14ac:dyDescent="0.2">
      <c r="A3" s="14" t="s">
        <v>2</v>
      </c>
      <c r="B3" s="14" t="s">
        <v>3</v>
      </c>
      <c r="C3" s="14" t="s">
        <v>4</v>
      </c>
      <c r="D3" s="14" t="s">
        <v>5</v>
      </c>
      <c r="E3" s="15"/>
      <c r="F3" s="14" t="s">
        <v>2</v>
      </c>
      <c r="G3" s="14" t="s">
        <v>3</v>
      </c>
      <c r="H3" s="14" t="s">
        <v>4</v>
      </c>
      <c r="I3" s="14" t="s">
        <v>5</v>
      </c>
    </row>
    <row r="4" spans="1:9" x14ac:dyDescent="0.2">
      <c r="A4" s="11" t="s">
        <v>6</v>
      </c>
      <c r="B4" s="27">
        <f>_3A</f>
        <v>0</v>
      </c>
      <c r="E4" s="15"/>
      <c r="F4" s="11" t="s">
        <v>7</v>
      </c>
      <c r="G4" s="27">
        <f>_6A</f>
        <v>6</v>
      </c>
      <c r="H4" s="15"/>
      <c r="I4" s="15"/>
    </row>
    <row r="5" spans="1:9" x14ac:dyDescent="0.2">
      <c r="A5" s="11" t="s">
        <v>8</v>
      </c>
      <c r="B5" s="27">
        <f>_3B</f>
        <v>8</v>
      </c>
      <c r="C5" s="16">
        <f>B4+B5</f>
        <v>8</v>
      </c>
      <c r="E5" s="15"/>
      <c r="F5" s="11" t="s">
        <v>9</v>
      </c>
      <c r="G5" s="27">
        <f>_6B</f>
        <v>6</v>
      </c>
      <c r="H5" s="16">
        <f>G4+G5</f>
        <v>12</v>
      </c>
      <c r="I5" s="15"/>
    </row>
    <row r="6" spans="1:9" x14ac:dyDescent="0.2">
      <c r="A6" s="11" t="s">
        <v>10</v>
      </c>
      <c r="B6" s="27">
        <f>_XD</f>
        <v>0</v>
      </c>
      <c r="E6" s="15"/>
      <c r="F6" s="11" t="s">
        <v>11</v>
      </c>
      <c r="G6" s="27">
        <f>_6C</f>
        <v>6</v>
      </c>
      <c r="H6" s="15"/>
      <c r="I6" s="15"/>
    </row>
    <row r="7" spans="1:9" x14ac:dyDescent="0.2">
      <c r="A7" s="11" t="s">
        <v>12</v>
      </c>
      <c r="B7" s="27">
        <f>_3C</f>
        <v>5</v>
      </c>
      <c r="C7" s="16">
        <f>B6+B7</f>
        <v>5</v>
      </c>
      <c r="E7" s="15"/>
      <c r="F7" s="11" t="s">
        <v>13</v>
      </c>
      <c r="G7" s="27">
        <f>_6D</f>
        <v>0</v>
      </c>
      <c r="H7" s="16">
        <f>G6+G7</f>
        <v>6</v>
      </c>
      <c r="I7" s="15"/>
    </row>
    <row r="8" spans="1:9" x14ac:dyDescent="0.2">
      <c r="A8" s="11" t="s">
        <v>14</v>
      </c>
      <c r="B8" s="27">
        <f>_3D</f>
        <v>6</v>
      </c>
      <c r="E8" s="15"/>
      <c r="F8" s="11" t="s">
        <v>15</v>
      </c>
      <c r="G8" s="27">
        <f>_6E</f>
        <v>0</v>
      </c>
      <c r="H8" s="15"/>
      <c r="I8" s="15"/>
    </row>
    <row r="9" spans="1:9" x14ac:dyDescent="0.2">
      <c r="A9" s="11" t="s">
        <v>16</v>
      </c>
      <c r="B9" s="27">
        <f>_3E</f>
        <v>0</v>
      </c>
      <c r="C9" s="16">
        <f>B8+B9</f>
        <v>6</v>
      </c>
      <c r="D9" s="16">
        <f>C5*C7*C9</f>
        <v>240</v>
      </c>
      <c r="E9" s="15"/>
      <c r="F9" s="11" t="s">
        <v>17</v>
      </c>
      <c r="G9" s="27">
        <f>_6F</f>
        <v>0</v>
      </c>
      <c r="H9" s="16">
        <f>G8+G9</f>
        <v>0</v>
      </c>
      <c r="I9" s="16">
        <f>H5*H7*H9</f>
        <v>0</v>
      </c>
    </row>
    <row r="10" spans="1:9" x14ac:dyDescent="0.2">
      <c r="A10" s="11" t="s">
        <v>18</v>
      </c>
      <c r="B10" s="27">
        <f>_XF</f>
        <v>0</v>
      </c>
      <c r="E10" s="15"/>
      <c r="F10" s="11" t="s">
        <v>19</v>
      </c>
      <c r="G10" s="27">
        <f>_6G</f>
        <v>8</v>
      </c>
      <c r="H10" s="15"/>
      <c r="I10" s="15"/>
    </row>
    <row r="11" spans="1:9" x14ac:dyDescent="0.2">
      <c r="A11" s="11" t="s">
        <v>20</v>
      </c>
      <c r="B11" s="27">
        <f>_3F</f>
        <v>0</v>
      </c>
      <c r="C11" s="16">
        <f>B10+B11</f>
        <v>0</v>
      </c>
      <c r="E11" s="15"/>
      <c r="F11" s="11" t="s">
        <v>21</v>
      </c>
      <c r="G11" s="27">
        <f>_6H</f>
        <v>0</v>
      </c>
      <c r="H11" s="16">
        <f>G10+G11</f>
        <v>8</v>
      </c>
      <c r="I11" s="15"/>
    </row>
    <row r="12" spans="1:9" x14ac:dyDescent="0.2">
      <c r="A12" s="11" t="s">
        <v>22</v>
      </c>
      <c r="B12" s="27">
        <f>_BA</f>
        <v>3</v>
      </c>
      <c r="E12" s="15"/>
      <c r="F12" s="11" t="s">
        <v>23</v>
      </c>
      <c r="G12" s="27">
        <f>_6I</f>
        <v>0</v>
      </c>
      <c r="H12" s="15"/>
      <c r="I12" s="15"/>
    </row>
    <row r="13" spans="1:9" x14ac:dyDescent="0.2">
      <c r="A13" s="11" t="s">
        <v>24</v>
      </c>
      <c r="B13" s="27">
        <f>_BB</f>
        <v>0</v>
      </c>
      <c r="C13" s="16">
        <f>B12+B13</f>
        <v>3</v>
      </c>
      <c r="E13" s="15"/>
      <c r="F13" s="11" t="s">
        <v>25</v>
      </c>
      <c r="G13" s="27">
        <f>_6J</f>
        <v>4</v>
      </c>
      <c r="H13" s="16">
        <f>G12+G13</f>
        <v>4</v>
      </c>
      <c r="I13" s="15"/>
    </row>
    <row r="14" spans="1:9" x14ac:dyDescent="0.2">
      <c r="A14" s="11" t="s">
        <v>26</v>
      </c>
      <c r="B14" s="27">
        <f>_BC</f>
        <v>1</v>
      </c>
      <c r="E14" s="15"/>
      <c r="F14" s="11" t="s">
        <v>22</v>
      </c>
      <c r="G14" s="27">
        <f>_BA</f>
        <v>3</v>
      </c>
      <c r="H14" s="15"/>
      <c r="I14" s="15"/>
    </row>
    <row r="15" spans="1:9" x14ac:dyDescent="0.2">
      <c r="A15" s="11" t="s">
        <v>27</v>
      </c>
      <c r="B15" s="27">
        <f>_XG</f>
        <v>0</v>
      </c>
      <c r="C15" s="16">
        <f>B14+B15</f>
        <v>1</v>
      </c>
      <c r="D15" s="16">
        <f>C11*C13*C15</f>
        <v>0</v>
      </c>
      <c r="E15" s="15"/>
      <c r="F15" s="11" t="s">
        <v>24</v>
      </c>
      <c r="G15" s="27">
        <f>_BB</f>
        <v>0</v>
      </c>
      <c r="H15" s="16">
        <f>G14+G15</f>
        <v>3</v>
      </c>
      <c r="I15" s="16">
        <f>H11*H13*H15</f>
        <v>96</v>
      </c>
    </row>
    <row r="16" spans="1:9" x14ac:dyDescent="0.2">
      <c r="A16" s="11" t="s">
        <v>28</v>
      </c>
      <c r="B16" s="27">
        <f>_XB</f>
        <v>0</v>
      </c>
      <c r="E16" s="15"/>
      <c r="F16" s="11" t="s">
        <v>26</v>
      </c>
      <c r="G16" s="27">
        <f>_BC</f>
        <v>1</v>
      </c>
      <c r="H16" s="15"/>
      <c r="I16" s="15"/>
    </row>
    <row r="17" spans="1:9" x14ac:dyDescent="0.2">
      <c r="A17" s="11" t="s">
        <v>29</v>
      </c>
      <c r="B17" s="27">
        <f>_BE</f>
        <v>0</v>
      </c>
      <c r="C17" s="16">
        <f>B16+B17</f>
        <v>0</v>
      </c>
      <c r="E17" s="15"/>
      <c r="F17" s="11" t="s">
        <v>27</v>
      </c>
      <c r="G17" s="27">
        <f>_XG</f>
        <v>0</v>
      </c>
      <c r="H17" s="16">
        <f>G16+G17</f>
        <v>1</v>
      </c>
      <c r="I17" s="15"/>
    </row>
    <row r="18" spans="1:9" x14ac:dyDescent="0.2">
      <c r="A18" s="11" t="s">
        <v>30</v>
      </c>
      <c r="B18" s="27">
        <f>_BF</f>
        <v>0</v>
      </c>
      <c r="E18" s="15"/>
      <c r="F18" s="11" t="s">
        <v>28</v>
      </c>
      <c r="G18" s="27">
        <f>_XB</f>
        <v>0</v>
      </c>
      <c r="H18" s="15"/>
      <c r="I18" s="15"/>
    </row>
    <row r="19" spans="1:9" x14ac:dyDescent="0.2">
      <c r="A19" s="11" t="s">
        <v>31</v>
      </c>
      <c r="B19" s="27">
        <f>_BG</f>
        <v>0</v>
      </c>
      <c r="C19" s="16">
        <f>B18+B19</f>
        <v>0</v>
      </c>
      <c r="E19" s="15"/>
      <c r="F19" s="11" t="s">
        <v>29</v>
      </c>
      <c r="G19" s="27">
        <f>_BE</f>
        <v>0</v>
      </c>
      <c r="H19" s="16">
        <f>G18+G19</f>
        <v>0</v>
      </c>
      <c r="I19" s="15"/>
    </row>
    <row r="20" spans="1:9" x14ac:dyDescent="0.2">
      <c r="A20" s="11" t="s">
        <v>32</v>
      </c>
      <c r="B20" s="27">
        <f>_3G</f>
        <v>0</v>
      </c>
      <c r="E20" s="15"/>
      <c r="F20" s="11" t="s">
        <v>30</v>
      </c>
      <c r="G20" s="27">
        <f>_BF</f>
        <v>0</v>
      </c>
      <c r="H20" s="15"/>
      <c r="I20" s="15"/>
    </row>
    <row r="21" spans="1:9" x14ac:dyDescent="0.2">
      <c r="A21" s="11" t="s">
        <v>33</v>
      </c>
      <c r="B21" s="27">
        <f>_3H</f>
        <v>0</v>
      </c>
      <c r="C21" s="16">
        <f>B20+B21</f>
        <v>0</v>
      </c>
      <c r="D21" s="16">
        <f>C17*C19*C21</f>
        <v>0</v>
      </c>
      <c r="E21" s="15"/>
      <c r="F21" s="11" t="s">
        <v>31</v>
      </c>
      <c r="G21" s="27">
        <f>_BG</f>
        <v>0</v>
      </c>
      <c r="H21" s="16">
        <f>G20+G21</f>
        <v>0</v>
      </c>
      <c r="I21" s="16">
        <f>H17*H19*H21</f>
        <v>0</v>
      </c>
    </row>
    <row r="22" spans="1:9" x14ac:dyDescent="0.2">
      <c r="A22" s="11" t="s">
        <v>34</v>
      </c>
      <c r="B22" s="27">
        <f>_3I</f>
        <v>0</v>
      </c>
      <c r="E22" s="15"/>
      <c r="F22" s="11" t="s">
        <v>35</v>
      </c>
      <c r="G22" s="27">
        <f>_6K</f>
        <v>0</v>
      </c>
      <c r="H22" s="15"/>
      <c r="I22" s="15"/>
    </row>
    <row r="23" spans="1:9" x14ac:dyDescent="0.2">
      <c r="A23" s="11" t="s">
        <v>36</v>
      </c>
      <c r="B23" s="27">
        <f>_3J</f>
        <v>0</v>
      </c>
      <c r="C23" s="16">
        <f>B22+B23</f>
        <v>0</v>
      </c>
      <c r="E23" s="15"/>
      <c r="F23" s="11" t="s">
        <v>37</v>
      </c>
      <c r="G23" s="27">
        <f>_6L</f>
        <v>0</v>
      </c>
      <c r="H23" s="16">
        <f>G22+G23</f>
        <v>0</v>
      </c>
      <c r="I23" s="15"/>
    </row>
    <row r="24" spans="1:9" x14ac:dyDescent="0.2">
      <c r="A24" s="11" t="s">
        <v>38</v>
      </c>
      <c r="B24" s="27">
        <f>_3K</f>
        <v>0</v>
      </c>
      <c r="E24" s="15"/>
      <c r="F24" s="11" t="s">
        <v>39</v>
      </c>
      <c r="G24" s="27">
        <f>_6M</f>
        <v>0</v>
      </c>
      <c r="H24" s="15"/>
      <c r="I24" s="15"/>
    </row>
    <row r="25" spans="1:9" x14ac:dyDescent="0.2">
      <c r="A25" s="11" t="s">
        <v>40</v>
      </c>
      <c r="B25" s="27">
        <f>_3L</f>
        <v>0</v>
      </c>
      <c r="C25" s="16">
        <f>B24+B25</f>
        <v>0</v>
      </c>
      <c r="E25" s="15"/>
      <c r="F25" s="11" t="s">
        <v>41</v>
      </c>
      <c r="G25" s="27">
        <f>_6N</f>
        <v>0</v>
      </c>
      <c r="H25" s="16">
        <f>G24+G25</f>
        <v>0</v>
      </c>
      <c r="I25" s="15"/>
    </row>
    <row r="26" spans="1:9" x14ac:dyDescent="0.2">
      <c r="A26" s="11" t="s">
        <v>42</v>
      </c>
      <c r="B26" s="27">
        <f>_3M</f>
        <v>0</v>
      </c>
      <c r="E26" s="15"/>
      <c r="F26" s="11" t="s">
        <v>43</v>
      </c>
      <c r="G26" s="27">
        <f>_6O</f>
        <v>0</v>
      </c>
      <c r="H26" s="15"/>
      <c r="I26" s="15"/>
    </row>
    <row r="27" spans="1:9" x14ac:dyDescent="0.2">
      <c r="A27" s="11" t="s">
        <v>44</v>
      </c>
      <c r="B27" s="27">
        <f>_3N</f>
        <v>0</v>
      </c>
      <c r="C27" s="16">
        <f>B26+B27</f>
        <v>0</v>
      </c>
      <c r="D27" s="16">
        <f>C23*C25*C27</f>
        <v>0</v>
      </c>
      <c r="E27" s="15"/>
      <c r="F27" s="11" t="s">
        <v>45</v>
      </c>
      <c r="G27" s="27">
        <f>_6P</f>
        <v>0</v>
      </c>
      <c r="H27" s="16">
        <f>G26+G27</f>
        <v>0</v>
      </c>
      <c r="I27" s="16">
        <f>H23*H25*H27</f>
        <v>0</v>
      </c>
    </row>
    <row r="28" spans="1:9" x14ac:dyDescent="0.2">
      <c r="E28" s="15"/>
      <c r="F28" s="11" t="s">
        <v>46</v>
      </c>
      <c r="G28" s="27">
        <f>_6Q</f>
        <v>0</v>
      </c>
      <c r="H28" s="16">
        <f>G28*1</f>
        <v>0</v>
      </c>
      <c r="I28" s="16">
        <f>H28</f>
        <v>0</v>
      </c>
    </row>
    <row r="29" spans="1:9" x14ac:dyDescent="0.2">
      <c r="E29" s="15"/>
    </row>
    <row r="30" spans="1:9" x14ac:dyDescent="0.2">
      <c r="E30" s="15"/>
      <c r="F30" s="15"/>
      <c r="G30" s="15"/>
      <c r="H30" s="15"/>
      <c r="I30" s="15"/>
    </row>
    <row r="31" spans="1:9" x14ac:dyDescent="0.2">
      <c r="A31" s="44" t="s">
        <v>47</v>
      </c>
      <c r="B31" s="44"/>
      <c r="C31" s="44" t="s">
        <v>48</v>
      </c>
      <c r="D31" s="44"/>
      <c r="F31" s="44" t="s">
        <v>49</v>
      </c>
      <c r="G31" s="44"/>
      <c r="H31" s="44" t="s">
        <v>48</v>
      </c>
      <c r="I31" s="44"/>
    </row>
    <row r="32" spans="1:9" x14ac:dyDescent="0.2">
      <c r="A32" s="39">
        <v>6500</v>
      </c>
      <c r="B32" s="39"/>
      <c r="C32" s="40">
        <f>D27+D21+D15+D9</f>
        <v>240</v>
      </c>
      <c r="D32" s="40"/>
      <c r="E32" s="15"/>
      <c r="F32" s="39">
        <v>30614</v>
      </c>
      <c r="G32" s="39"/>
      <c r="H32" s="40">
        <f>I9+I15+I21+I27+I28</f>
        <v>96</v>
      </c>
      <c r="I32" s="40"/>
    </row>
    <row r="33" spans="1:9" x14ac:dyDescent="0.2">
      <c r="A33" s="41" t="str">
        <f>CONCATENATE("N 48° ",TEXT((A32+C32)/1000,"00,000"),"'")</f>
        <v>N 48° 06,740'</v>
      </c>
      <c r="B33" s="41"/>
      <c r="C33" s="41"/>
      <c r="D33" s="41"/>
      <c r="E33" s="15"/>
      <c r="F33" s="41" t="str">
        <f>CONCATENATE("E 011° ",TEXT((F32+H32)/1000,"00,000"),"'")</f>
        <v>E 011° 30,710'</v>
      </c>
      <c r="G33" s="41"/>
      <c r="H33" s="41"/>
      <c r="I33" s="41"/>
    </row>
    <row r="35" spans="1:9" x14ac:dyDescent="0.2">
      <c r="A35" s="38" t="s">
        <v>50</v>
      </c>
      <c r="B35" s="38"/>
      <c r="C35" s="38"/>
      <c r="D35" s="38"/>
      <c r="F35" s="38" t="s">
        <v>3</v>
      </c>
      <c r="G35" s="38"/>
      <c r="H35" s="11" t="s">
        <v>51</v>
      </c>
      <c r="I35" s="12"/>
    </row>
  </sheetData>
  <sheetProtection selectLockedCells="1" selectUnlockedCells="1"/>
  <mergeCells count="14">
    <mergeCell ref="H32:I32"/>
    <mergeCell ref="A33:D33"/>
    <mergeCell ref="F33:I33"/>
    <mergeCell ref="A1:D1"/>
    <mergeCell ref="F1:I1"/>
    <mergeCell ref="A31:B31"/>
    <mergeCell ref="C31:D31"/>
    <mergeCell ref="F31:G31"/>
    <mergeCell ref="H31:I31"/>
    <mergeCell ref="A35:D35"/>
    <mergeCell ref="F35:G35"/>
    <mergeCell ref="A32:B32"/>
    <mergeCell ref="C32:D32"/>
    <mergeCell ref="F32:G32"/>
  </mergeCells>
  <pageMargins left="0.6694444444444444" right="0.6694444444444444" top="0.90694444444444444" bottom="0.90694444444444444" header="0.6694444444444444" footer="0.6694444444444444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D18"/>
  <sheetViews>
    <sheetView workbookViewId="0"/>
  </sheetViews>
  <sheetFormatPr baseColWidth="10" defaultColWidth="11.5703125" defaultRowHeight="12.75" x14ac:dyDescent="0.2"/>
  <cols>
    <col min="2" max="2" width="28.5703125" style="2" customWidth="1"/>
    <col min="3" max="3" width="12.5703125" style="2" customWidth="1"/>
    <col min="4" max="4" width="10.140625" customWidth="1"/>
  </cols>
  <sheetData>
    <row r="2" spans="2:4" ht="20.25" x14ac:dyDescent="0.3">
      <c r="B2" s="50" t="s">
        <v>113</v>
      </c>
      <c r="C2" s="50"/>
      <c r="D2" s="50"/>
    </row>
    <row r="3" spans="2:4" x14ac:dyDescent="0.2">
      <c r="B3"/>
      <c r="C3"/>
    </row>
    <row r="4" spans="2:4" ht="20.25" x14ac:dyDescent="0.3">
      <c r="B4" s="4" t="s">
        <v>114</v>
      </c>
      <c r="C4" s="4" t="s">
        <v>115</v>
      </c>
      <c r="D4" s="4" t="s">
        <v>3</v>
      </c>
    </row>
    <row r="5" spans="2:4" ht="20.25" x14ac:dyDescent="0.3">
      <c r="B5" s="5" t="s">
        <v>50</v>
      </c>
      <c r="C5" s="4" t="s">
        <v>51</v>
      </c>
      <c r="D5" s="6">
        <f>Marienplatz!I35</f>
        <v>0</v>
      </c>
    </row>
    <row r="6" spans="2:4" ht="20.25" x14ac:dyDescent="0.3">
      <c r="B6" s="5" t="s">
        <v>116</v>
      </c>
      <c r="C6" s="4" t="s">
        <v>74</v>
      </c>
      <c r="D6" s="35">
        <f>Stachus!I35</f>
        <v>0</v>
      </c>
    </row>
    <row r="7" spans="2:4" ht="20.25" x14ac:dyDescent="0.3">
      <c r="B7" s="5" t="s">
        <v>111</v>
      </c>
      <c r="C7" s="4" t="s">
        <v>112</v>
      </c>
      <c r="D7" s="6">
        <f>Hauptbahnhof!I35</f>
        <v>0</v>
      </c>
    </row>
    <row r="8" spans="2:4" ht="20.25" x14ac:dyDescent="0.3">
      <c r="B8" s="7"/>
      <c r="C8" s="3"/>
      <c r="D8" s="3"/>
    </row>
    <row r="9" spans="2:4" ht="20.25" x14ac:dyDescent="0.3">
      <c r="B9" s="5" t="s">
        <v>47</v>
      </c>
      <c r="C9" s="51">
        <v>3931</v>
      </c>
      <c r="D9" s="51"/>
    </row>
    <row r="10" spans="2:4" ht="20.25" x14ac:dyDescent="0.3">
      <c r="B10" s="5" t="s">
        <v>49</v>
      </c>
      <c r="C10" s="51">
        <v>31881</v>
      </c>
      <c r="D10" s="51"/>
    </row>
    <row r="11" spans="2:4" ht="20.25" x14ac:dyDescent="0.3">
      <c r="B11" s="1"/>
      <c r="C11" s="1"/>
      <c r="D11" s="8"/>
    </row>
    <row r="12" spans="2:4" ht="20.25" x14ac:dyDescent="0.3">
      <c r="B12"/>
      <c r="C12" s="48" t="s">
        <v>117</v>
      </c>
      <c r="D12" s="48"/>
    </row>
    <row r="13" spans="2:4" ht="20.25" x14ac:dyDescent="0.3">
      <c r="B13" s="9" t="s">
        <v>118</v>
      </c>
      <c r="C13" s="48" t="str">
        <f>IF(D6*D7-D5=0,"",D6*D7-D5)</f>
        <v/>
      </c>
      <c r="D13" s="48"/>
    </row>
    <row r="14" spans="2:4" ht="20.25" x14ac:dyDescent="0.3">
      <c r="B14"/>
      <c r="C14" s="48" t="s">
        <v>119</v>
      </c>
      <c r="D14" s="48"/>
    </row>
    <row r="15" spans="2:4" ht="20.25" x14ac:dyDescent="0.3">
      <c r="B15" s="9" t="s">
        <v>120</v>
      </c>
      <c r="C15" s="48" t="str">
        <f>IF(D5*D6-D7=0,"",D5*D6-D7)</f>
        <v/>
      </c>
      <c r="D15" s="48"/>
    </row>
    <row r="16" spans="2:4" ht="20.25" x14ac:dyDescent="0.3">
      <c r="B16" s="1"/>
      <c r="C16" s="1"/>
      <c r="D16" s="8"/>
    </row>
    <row r="17" spans="2:4" ht="20.25" x14ac:dyDescent="0.3">
      <c r="B17" s="49" t="str">
        <f>CONCATENATE("N 48° ",TEXT(((C9+D6*D7-D5)),"00.000"),"'")</f>
        <v>N 48° 03.931'</v>
      </c>
      <c r="C17" s="49"/>
      <c r="D17" s="49"/>
    </row>
    <row r="18" spans="2:4" ht="20.25" x14ac:dyDescent="0.3">
      <c r="B18" s="49" t="str">
        <f>CONCATENATE("E 011° ",TEXT(((C10+D5*D6-D7)),"00.000"),"'")</f>
        <v>E 011° 31.881'</v>
      </c>
      <c r="C18" s="49"/>
      <c r="D18" s="49"/>
    </row>
  </sheetData>
  <sheetProtection selectLockedCells="1" selectUnlockedCells="1"/>
  <mergeCells count="9">
    <mergeCell ref="C15:D15"/>
    <mergeCell ref="B17:D17"/>
    <mergeCell ref="B18:D18"/>
    <mergeCell ref="B2:D2"/>
    <mergeCell ref="C9:D9"/>
    <mergeCell ref="C10:D10"/>
    <mergeCell ref="C12:D12"/>
    <mergeCell ref="C13:D13"/>
    <mergeCell ref="C14:D14"/>
  </mergeCells>
  <pageMargins left="0.6694444444444444" right="0.6694444444444444" top="0.90694444444444444" bottom="0.90694444444444444" header="0.6694444444444444" footer="0.6694444444444444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97</vt:i4>
      </vt:variant>
    </vt:vector>
  </HeadingPairs>
  <TitlesOfParts>
    <vt:vector size="102" baseType="lpstr">
      <vt:lpstr>WERTE</vt:lpstr>
      <vt:lpstr>Hauptbahnhof</vt:lpstr>
      <vt:lpstr>Stachus</vt:lpstr>
      <vt:lpstr>Marienplatz</vt:lpstr>
      <vt:lpstr>U-Bahn-Bonus</vt:lpstr>
      <vt:lpstr>_1A</vt:lpstr>
      <vt:lpstr>_1B</vt:lpstr>
      <vt:lpstr>_1C</vt:lpstr>
      <vt:lpstr>_1D</vt:lpstr>
      <vt:lpstr>_1E</vt:lpstr>
      <vt:lpstr>_1F</vt:lpstr>
      <vt:lpstr>_1G</vt:lpstr>
      <vt:lpstr>_1H</vt:lpstr>
      <vt:lpstr>_1I</vt:lpstr>
      <vt:lpstr>_1J</vt:lpstr>
      <vt:lpstr>_2A</vt:lpstr>
      <vt:lpstr>_2B</vt:lpstr>
      <vt:lpstr>_2C</vt:lpstr>
      <vt:lpstr>_2D</vt:lpstr>
      <vt:lpstr>_2E</vt:lpstr>
      <vt:lpstr>_2F</vt:lpstr>
      <vt:lpstr>_2G</vt:lpstr>
      <vt:lpstr>_2H</vt:lpstr>
      <vt:lpstr>_2I</vt:lpstr>
      <vt:lpstr>_2J</vt:lpstr>
      <vt:lpstr>_2K</vt:lpstr>
      <vt:lpstr>_2L</vt:lpstr>
      <vt:lpstr>_2M</vt:lpstr>
      <vt:lpstr>_2N</vt:lpstr>
      <vt:lpstr>_2O</vt:lpstr>
      <vt:lpstr>_2P</vt:lpstr>
      <vt:lpstr>_2Q</vt:lpstr>
      <vt:lpstr>_2R</vt:lpstr>
      <vt:lpstr>_2S</vt:lpstr>
      <vt:lpstr>_2T</vt:lpstr>
      <vt:lpstr>_2U</vt:lpstr>
      <vt:lpstr>_3A</vt:lpstr>
      <vt:lpstr>_3B</vt:lpstr>
      <vt:lpstr>_3C</vt:lpstr>
      <vt:lpstr>_3D</vt:lpstr>
      <vt:lpstr>_3E</vt:lpstr>
      <vt:lpstr>_3F</vt:lpstr>
      <vt:lpstr>_3G</vt:lpstr>
      <vt:lpstr>_3H</vt:lpstr>
      <vt:lpstr>_3I</vt:lpstr>
      <vt:lpstr>_3J</vt:lpstr>
      <vt:lpstr>_3K</vt:lpstr>
      <vt:lpstr>_3L</vt:lpstr>
      <vt:lpstr>_3M</vt:lpstr>
      <vt:lpstr>_3N</vt:lpstr>
      <vt:lpstr>_4A</vt:lpstr>
      <vt:lpstr>_4B</vt:lpstr>
      <vt:lpstr>_4C</vt:lpstr>
      <vt:lpstr>_4D</vt:lpstr>
      <vt:lpstr>_5A</vt:lpstr>
      <vt:lpstr>_5B</vt:lpstr>
      <vt:lpstr>_5C</vt:lpstr>
      <vt:lpstr>_5D</vt:lpstr>
      <vt:lpstr>_5E</vt:lpstr>
      <vt:lpstr>_5F</vt:lpstr>
      <vt:lpstr>_5G</vt:lpstr>
      <vt:lpstr>_5H</vt:lpstr>
      <vt:lpstr>_6A</vt:lpstr>
      <vt:lpstr>_6B</vt:lpstr>
      <vt:lpstr>_6C</vt:lpstr>
      <vt:lpstr>_6D</vt:lpstr>
      <vt:lpstr>_6E</vt:lpstr>
      <vt:lpstr>_6F</vt:lpstr>
      <vt:lpstr>_6G</vt:lpstr>
      <vt:lpstr>_6H</vt:lpstr>
      <vt:lpstr>_6I</vt:lpstr>
      <vt:lpstr>_6J</vt:lpstr>
      <vt:lpstr>_6K</vt:lpstr>
      <vt:lpstr>_6L</vt:lpstr>
      <vt:lpstr>_6M</vt:lpstr>
      <vt:lpstr>_6N</vt:lpstr>
      <vt:lpstr>_6O</vt:lpstr>
      <vt:lpstr>_6P</vt:lpstr>
      <vt:lpstr>_6Q</vt:lpstr>
      <vt:lpstr>_AA</vt:lpstr>
      <vt:lpstr>_AB</vt:lpstr>
      <vt:lpstr>_BA</vt:lpstr>
      <vt:lpstr>_BB</vt:lpstr>
      <vt:lpstr>_BC</vt:lpstr>
      <vt:lpstr>_BE</vt:lpstr>
      <vt:lpstr>_BF</vt:lpstr>
      <vt:lpstr>_BG</vt:lpstr>
      <vt:lpstr>_CA</vt:lpstr>
      <vt:lpstr>_CB</vt:lpstr>
      <vt:lpstr>_CC</vt:lpstr>
      <vt:lpstr>_CD</vt:lpstr>
      <vt:lpstr>_CF</vt:lpstr>
      <vt:lpstr>_CG</vt:lpstr>
      <vt:lpstr>_XB</vt:lpstr>
      <vt:lpstr>_XD</vt:lpstr>
      <vt:lpstr>_XE</vt:lpstr>
      <vt:lpstr>_XF</vt:lpstr>
      <vt:lpstr>_XG</vt:lpstr>
      <vt:lpstr>Hauptbahnhof!Druckbereich</vt:lpstr>
      <vt:lpstr>Marienplatz!Druckbereich</vt:lpstr>
      <vt:lpstr>Stachus!Druckbereich</vt:lpstr>
      <vt:lpstr>'U-Bahn-Bonus'!Druckbereich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</dc:creator>
  <cp:lastModifiedBy>Andreas Voss</cp:lastModifiedBy>
  <dcterms:created xsi:type="dcterms:W3CDTF">2011-11-09T19:18:31Z</dcterms:created>
  <dcterms:modified xsi:type="dcterms:W3CDTF">2023-01-03T18:02:12Z</dcterms:modified>
</cp:coreProperties>
</file>